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Z77" i="3" s="1"/>
  <c r="BR36" i="3" s="1"/>
  <c r="S77" i="3"/>
  <c r="T77" i="3" s="1"/>
  <c r="BR24" i="3" s="1"/>
  <c r="U76" i="3"/>
  <c r="Z76" i="3" s="1"/>
  <c r="BR35" i="3" s="1"/>
  <c r="S76" i="3"/>
  <c r="T76" i="3" s="1"/>
  <c r="BR23" i="3" s="1"/>
  <c r="S72" i="3"/>
  <c r="T72" i="3" s="1"/>
  <c r="BL33" i="3" s="1"/>
  <c r="S71" i="3"/>
  <c r="S70" i="3"/>
  <c r="T70" i="3" s="1"/>
  <c r="BL17" i="3" s="1"/>
  <c r="S69" i="3"/>
  <c r="T69" i="3" s="1"/>
  <c r="BL16" i="3" s="1"/>
  <c r="S63" i="3"/>
  <c r="S62" i="3"/>
  <c r="S61" i="3"/>
  <c r="T61" i="3" s="1"/>
  <c r="BF29" i="3" s="1"/>
  <c r="S60" i="3"/>
  <c r="T60" i="3" s="1"/>
  <c r="BF28" i="3" s="1"/>
  <c r="S59" i="3"/>
  <c r="T59" i="3" s="1"/>
  <c r="BF13" i="3" s="1"/>
  <c r="S58" i="3"/>
  <c r="T58" i="3" s="1"/>
  <c r="BF12" i="3" s="1"/>
  <c r="G48" i="2"/>
  <c r="G16" i="2"/>
  <c r="G15" i="2"/>
  <c r="L20" i="3" s="1"/>
  <c r="AB21" i="3"/>
  <c r="R71" i="3"/>
  <c r="R72" i="3"/>
  <c r="BE35" i="3"/>
  <c r="R28" i="3"/>
  <c r="R69" i="3"/>
  <c r="BE11" i="3"/>
  <c r="R58" i="3"/>
  <c r="R77" i="3"/>
  <c r="BK31" i="3"/>
  <c r="R70" i="3"/>
  <c r="R85" i="3"/>
  <c r="BQ22" i="3"/>
  <c r="R65" i="3"/>
  <c r="R63" i="3"/>
  <c r="AY21" i="3"/>
  <c r="R81" i="3"/>
  <c r="R64" i="3"/>
  <c r="AY33" i="3"/>
  <c r="R60" i="3"/>
  <c r="R76" i="3"/>
  <c r="BK15" i="3"/>
  <c r="R62" i="3"/>
  <c r="R61" i="3"/>
  <c r="AY29" i="3"/>
  <c r="R59" i="3"/>
  <c r="R51" i="3"/>
  <c r="R43" i="3"/>
  <c r="R35" i="3"/>
  <c r="R42" i="3"/>
  <c r="C42" i="3"/>
  <c r="R34" i="3"/>
  <c r="R33" i="3"/>
  <c r="R48" i="3"/>
  <c r="B48" i="3"/>
  <c r="R40" i="3"/>
  <c r="R50" i="3"/>
  <c r="R44" i="3"/>
  <c r="R49" i="3"/>
  <c r="R41" i="3"/>
  <c r="R32" i="3"/>
  <c r="R47" i="3"/>
  <c r="R39" i="3"/>
  <c r="D39" i="3"/>
  <c r="R31" i="3"/>
  <c r="R36" i="3"/>
  <c r="R54" i="3"/>
  <c r="R46" i="3"/>
  <c r="R38" i="3"/>
  <c r="R30" i="3"/>
  <c r="R53" i="3"/>
  <c r="R45" i="3"/>
  <c r="R37" i="3"/>
  <c r="R29" i="3"/>
  <c r="R52" i="3"/>
  <c r="P8" i="3"/>
  <c r="P38" i="3"/>
  <c r="AB9" i="3"/>
  <c r="E40" i="3" s="1"/>
  <c r="AB33" i="3"/>
  <c r="E48" i="3"/>
  <c r="S48" i="3" s="1"/>
  <c r="T48" i="3" s="1"/>
  <c r="AB44" i="3"/>
  <c r="E19" i="3"/>
  <c r="AB52" i="3"/>
  <c r="H37" i="3" s="1"/>
  <c r="X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 s="1"/>
  <c r="AB10" i="3"/>
  <c r="E8" i="3"/>
  <c r="AB22" i="3"/>
  <c r="H44" i="3"/>
  <c r="AB34" i="3"/>
  <c r="H31" i="3"/>
  <c r="AB45" i="3"/>
  <c r="E52" i="3"/>
  <c r="B17" i="2"/>
  <c r="J8" i="3"/>
  <c r="L14" i="3"/>
  <c r="K26" i="3"/>
  <c r="M32" i="3"/>
  <c r="J38" i="3"/>
  <c r="J44" i="3"/>
  <c r="T63" i="3"/>
  <c r="BF21" i="3" s="1"/>
  <c r="AB11" i="3"/>
  <c r="H8" i="3" s="1"/>
  <c r="AB23" i="3"/>
  <c r="H12" i="3" s="1"/>
  <c r="AB35" i="3"/>
  <c r="AB46" i="3"/>
  <c r="B39" i="2"/>
  <c r="K8" i="3"/>
  <c r="M14" i="3"/>
  <c r="O20" i="3"/>
  <c r="L26" i="3"/>
  <c r="N32" i="3"/>
  <c r="K38" i="3"/>
  <c r="K44" i="3"/>
  <c r="L50" i="3"/>
  <c r="AB14" i="3"/>
  <c r="AB26" i="3"/>
  <c r="AB38" i="3"/>
  <c r="H49" i="3" s="1"/>
  <c r="X49" i="3" s="1"/>
  <c r="AB47" i="3"/>
  <c r="H20" i="3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AB15" i="3"/>
  <c r="AB27" i="3"/>
  <c r="H13" i="3"/>
  <c r="AB39" i="3"/>
  <c r="H17" i="3"/>
  <c r="AB50" i="3"/>
  <c r="H53" i="3"/>
  <c r="H11" i="3"/>
  <c r="E44" i="3"/>
  <c r="S44" i="3" s="1"/>
  <c r="T44" i="3" s="1"/>
  <c r="H28" i="3"/>
  <c r="B19" i="2"/>
  <c r="B23" i="2"/>
  <c r="AY6" i="3"/>
  <c r="M8" i="3"/>
  <c r="O14" i="3"/>
  <c r="N26" i="3"/>
  <c r="P32" i="3"/>
  <c r="M38" i="3"/>
  <c r="M44" i="3"/>
  <c r="N50" i="3"/>
  <c r="AB16" i="3"/>
  <c r="E10" i="3"/>
  <c r="AB28" i="3"/>
  <c r="AB40" i="3"/>
  <c r="E18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AB17" i="3"/>
  <c r="H10" i="3" s="1"/>
  <c r="X10" i="3" s="1"/>
  <c r="AB29" i="3"/>
  <c r="E45" i="3" s="1"/>
  <c r="AB41" i="3"/>
  <c r="B48" i="2"/>
  <c r="A1" i="3"/>
  <c r="B29" i="2"/>
  <c r="BK6" i="3"/>
  <c r="O8" i="3"/>
  <c r="K20" i="3"/>
  <c r="P26" i="3"/>
  <c r="J32" i="3"/>
  <c r="O38" i="3"/>
  <c r="O44" i="3"/>
  <c r="P50" i="3"/>
  <c r="T71" i="3"/>
  <c r="BL32" i="3" s="1"/>
  <c r="AB8" i="3"/>
  <c r="AB20" i="3"/>
  <c r="H43" i="3" s="1"/>
  <c r="AB32" i="3"/>
  <c r="E15" i="3" s="1"/>
  <c r="B46" i="2"/>
  <c r="AB53" i="3"/>
  <c r="E53" i="3"/>
  <c r="X53" i="3" s="1"/>
  <c r="R27" i="3"/>
  <c r="B27" i="3"/>
  <c r="R20" i="3"/>
  <c r="B20" i="3"/>
  <c r="R26" i="3"/>
  <c r="C26" i="3"/>
  <c r="R24" i="3"/>
  <c r="R25" i="3"/>
  <c r="C25" i="3"/>
  <c r="R23" i="3"/>
  <c r="C23" i="3"/>
  <c r="R18" i="3"/>
  <c r="R19" i="3"/>
  <c r="C19" i="3"/>
  <c r="R22" i="3"/>
  <c r="D22" i="3"/>
  <c r="R21" i="3"/>
  <c r="C21" i="3"/>
  <c r="R17" i="3"/>
  <c r="B17" i="3"/>
  <c r="R16" i="3"/>
  <c r="C16" i="3"/>
  <c r="R8" i="3"/>
  <c r="B8" i="3"/>
  <c r="R15" i="3"/>
  <c r="C15" i="3"/>
  <c r="R14" i="3"/>
  <c r="C14" i="3"/>
  <c r="R12" i="3"/>
  <c r="D12" i="3"/>
  <c r="R11" i="3"/>
  <c r="C11" i="3"/>
  <c r="R9" i="3"/>
  <c r="R7" i="3"/>
  <c r="C7" i="3"/>
  <c r="R13" i="3"/>
  <c r="B13" i="3"/>
  <c r="R10" i="3"/>
  <c r="B28" i="3"/>
  <c r="B37" i="3"/>
  <c r="C52" i="3"/>
  <c r="B36" i="3"/>
  <c r="D25" i="3"/>
  <c r="C44" i="3"/>
  <c r="C50" i="3"/>
  <c r="B30" i="3"/>
  <c r="D29" i="3"/>
  <c r="D34" i="3"/>
  <c r="C35" i="3"/>
  <c r="B51" i="3"/>
  <c r="C40" i="3"/>
  <c r="D28" i="3"/>
  <c r="B34" i="3"/>
  <c r="D35" i="3"/>
  <c r="C32" i="3"/>
  <c r="D36" i="3"/>
  <c r="B25" i="3"/>
  <c r="D8" i="3"/>
  <c r="B29" i="3"/>
  <c r="D38" i="3"/>
  <c r="C36" i="3"/>
  <c r="D49" i="3"/>
  <c r="C49" i="3"/>
  <c r="B49" i="3"/>
  <c r="C34" i="3"/>
  <c r="B46" i="3"/>
  <c r="D51" i="3"/>
  <c r="H54" i="3"/>
  <c r="B22" i="2"/>
  <c r="AM41" i="3" s="1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/>
  <c r="T22" i="3" s="1"/>
  <c r="H15" i="3"/>
  <c r="H32" i="3"/>
  <c r="X44" i="3"/>
  <c r="H24" i="3"/>
  <c r="X24" i="3" s="1"/>
  <c r="H7" i="3"/>
  <c r="E35" i="3"/>
  <c r="S35" i="3" s="1"/>
  <c r="T35" i="3" s="1"/>
  <c r="S19" i="3"/>
  <c r="S52" i="3"/>
  <c r="S10" i="3"/>
  <c r="S53" i="3"/>
  <c r="T53" i="3" s="1"/>
  <c r="B16" i="3"/>
  <c r="C13" i="3"/>
  <c r="D16" i="3"/>
  <c r="E32" i="3"/>
  <c r="E47" i="3"/>
  <c r="H16" i="3"/>
  <c r="E26" i="3"/>
  <c r="X26" i="3" s="1"/>
  <c r="H50" i="3"/>
  <c r="H9" i="3"/>
  <c r="H26" i="3"/>
  <c r="E42" i="3"/>
  <c r="X42" i="3" s="1"/>
  <c r="E28" i="3"/>
  <c r="H40" i="3"/>
  <c r="H23" i="3"/>
  <c r="E25" i="3"/>
  <c r="H41" i="3"/>
  <c r="E9" i="3"/>
  <c r="H21" i="3"/>
  <c r="H46" i="3"/>
  <c r="H29" i="3"/>
  <c r="T29" i="3" s="1"/>
  <c r="E14" i="3"/>
  <c r="E39" i="3"/>
  <c r="S39" i="3" s="1"/>
  <c r="T39" i="3" s="1"/>
  <c r="E24" i="3"/>
  <c r="AM16" i="3"/>
  <c r="E54" i="3"/>
  <c r="S54" i="3" s="1"/>
  <c r="T54" i="3" s="1"/>
  <c r="H22" i="3"/>
  <c r="E38" i="3"/>
  <c r="S38" i="3" s="1"/>
  <c r="H42" i="3"/>
  <c r="H25" i="3"/>
  <c r="H30" i="3"/>
  <c r="E46" i="3"/>
  <c r="E12" i="3"/>
  <c r="X12" i="3" s="1"/>
  <c r="E31" i="3"/>
  <c r="S31" i="3" s="1"/>
  <c r="T31" i="3" s="1"/>
  <c r="E36" i="3"/>
  <c r="E51" i="3"/>
  <c r="H27" i="3"/>
  <c r="E21" i="3"/>
  <c r="S21" i="3" s="1"/>
  <c r="T21" i="3" s="1"/>
  <c r="E37" i="3"/>
  <c r="E33" i="3"/>
  <c r="S33" i="3" s="1"/>
  <c r="E17" i="3"/>
  <c r="X17" i="3" s="1"/>
  <c r="H19" i="3"/>
  <c r="H36" i="3"/>
  <c r="H14" i="3"/>
  <c r="X14" i="3" s="1"/>
  <c r="E23" i="3"/>
  <c r="S23" i="3" s="1"/>
  <c r="T23" i="3" s="1"/>
  <c r="H39" i="3"/>
  <c r="E7" i="3"/>
  <c r="H18" i="3"/>
  <c r="E49" i="3"/>
  <c r="S49" i="3" s="1"/>
  <c r="T49" i="3" s="1"/>
  <c r="E34" i="3"/>
  <c r="E50" i="3"/>
  <c r="H34" i="3"/>
  <c r="H45" i="3"/>
  <c r="E29" i="3"/>
  <c r="E13" i="3"/>
  <c r="X13" i="3" s="1"/>
  <c r="H52" i="3"/>
  <c r="X52" i="3"/>
  <c r="H35" i="3"/>
  <c r="E20" i="3"/>
  <c r="E16" i="3"/>
  <c r="H48" i="3"/>
  <c r="X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10" i="3"/>
  <c r="AM14" i="3"/>
  <c r="AM46" i="3"/>
  <c r="AM45" i="3"/>
  <c r="AM44" i="3"/>
  <c r="AM26" i="3"/>
  <c r="AM23" i="3"/>
  <c r="AM32" i="3"/>
  <c r="AM51" i="3"/>
  <c r="S8" i="3"/>
  <c r="T19" i="3"/>
  <c r="X22" i="3"/>
  <c r="T52" i="3"/>
  <c r="S34" i="3"/>
  <c r="T34" i="3" s="1"/>
  <c r="X34" i="3"/>
  <c r="S46" i="3"/>
  <c r="T46" i="3"/>
  <c r="X46" i="3"/>
  <c r="S32" i="3"/>
  <c r="T32" i="3" s="1"/>
  <c r="X32" i="3"/>
  <c r="S24" i="3"/>
  <c r="T24" i="3"/>
  <c r="S25" i="3"/>
  <c r="T25" i="3" s="1"/>
  <c r="X25" i="3"/>
  <c r="S29" i="3"/>
  <c r="S7" i="3"/>
  <c r="T7" i="3" s="1"/>
  <c r="X7" i="3"/>
  <c r="S36" i="3"/>
  <c r="T36" i="3" s="1"/>
  <c r="X36" i="3"/>
  <c r="S14" i="3"/>
  <c r="T14" i="3"/>
  <c r="S9" i="3"/>
  <c r="T9" i="3" s="1"/>
  <c r="X9" i="3"/>
  <c r="X31" i="3"/>
  <c r="S20" i="3"/>
  <c r="T20" i="3" s="1"/>
  <c r="X20" i="3"/>
  <c r="S42" i="3"/>
  <c r="T42" i="3" s="1"/>
  <c r="S51" i="3"/>
  <c r="T51" i="3" s="1"/>
  <c r="X51" i="3"/>
  <c r="X39" i="3"/>
  <c r="X23" i="3"/>
  <c r="S28" i="3"/>
  <c r="T28" i="3" s="1"/>
  <c r="X28" i="3"/>
  <c r="X19" i="3"/>
  <c r="S16" i="3"/>
  <c r="T16" i="3"/>
  <c r="X16" i="3"/>
  <c r="S50" i="3"/>
  <c r="T50" i="3" s="1"/>
  <c r="X50" i="3"/>
  <c r="S37" i="3"/>
  <c r="T37" i="3" s="1"/>
  <c r="X54" i="3"/>
  <c r="T8" i="3"/>
  <c r="S65" i="3"/>
  <c r="T65" i="3"/>
  <c r="BF37" i="3" s="1"/>
  <c r="S64" i="3"/>
  <c r="T64" i="3" s="1"/>
  <c r="BF36" i="3" s="1"/>
  <c r="BO41" i="3" l="1"/>
  <c r="S45" i="3"/>
  <c r="X45" i="3"/>
  <c r="X15" i="3"/>
  <c r="S15" i="3"/>
  <c r="X40" i="3"/>
  <c r="S40" i="3"/>
  <c r="T33" i="3"/>
  <c r="T38" i="3"/>
  <c r="T10" i="3"/>
  <c r="X18" i="3"/>
  <c r="S18" i="3"/>
  <c r="X8" i="3"/>
  <c r="P44" i="3"/>
  <c r="B41" i="3"/>
  <c r="B33" i="3"/>
  <c r="AY13" i="3"/>
  <c r="AY17" i="3"/>
  <c r="AY25" i="3"/>
  <c r="BQ34" i="3"/>
  <c r="AY37" i="3"/>
  <c r="BE19" i="3"/>
  <c r="AY9" i="3"/>
  <c r="BE27" i="3"/>
  <c r="S12" i="3"/>
  <c r="S26" i="3"/>
  <c r="S13" i="3"/>
  <c r="X21" i="3"/>
  <c r="X38" i="3"/>
  <c r="S47" i="3"/>
  <c r="S17" i="3"/>
  <c r="X29" i="3"/>
  <c r="AM8" i="3"/>
  <c r="AM27" i="3"/>
  <c r="AM15" i="3"/>
  <c r="AM39" i="3"/>
  <c r="AM29" i="3"/>
  <c r="AM35" i="3"/>
  <c r="E30" i="3"/>
  <c r="AM40" i="3"/>
  <c r="H47" i="3"/>
  <c r="X47" i="3" s="1"/>
  <c r="AM9" i="3"/>
  <c r="E43" i="3"/>
  <c r="E41" i="3"/>
  <c r="E11" i="3"/>
  <c r="H33" i="3"/>
  <c r="X33" i="3" s="1"/>
  <c r="BQ6" i="3"/>
  <c r="B38" i="3"/>
  <c r="C47" i="3"/>
  <c r="AM11" i="3"/>
  <c r="AM20" i="3"/>
  <c r="AM21" i="3"/>
  <c r="AM28" i="3"/>
  <c r="AM53" i="3"/>
  <c r="AM52" i="3"/>
  <c r="AM34" i="3"/>
  <c r="X35" i="3"/>
  <c r="AM22" i="3"/>
  <c r="AM50" i="3"/>
  <c r="AM33" i="3"/>
  <c r="AM47" i="3"/>
  <c r="AM17" i="3"/>
  <c r="E27" i="3"/>
  <c r="X27" i="3" l="1"/>
  <c r="S27" i="3"/>
  <c r="S30" i="3"/>
  <c r="X30" i="3"/>
  <c r="AG41" i="3"/>
  <c r="AF23" i="3"/>
  <c r="AF34" i="3"/>
  <c r="AG22" i="3"/>
  <c r="AF29" i="3"/>
  <c r="AF10" i="3"/>
  <c r="AF35" i="3"/>
  <c r="AF45" i="3"/>
  <c r="AG9" i="3"/>
  <c r="AF41" i="3"/>
  <c r="AG45" i="3"/>
  <c r="AF28" i="3"/>
  <c r="AF8" i="3"/>
  <c r="AF11" i="3"/>
  <c r="AG40" i="3"/>
  <c r="AG14" i="3"/>
  <c r="AG46" i="3"/>
  <c r="AG26" i="3"/>
  <c r="AF47" i="3"/>
  <c r="AG35" i="3"/>
  <c r="AG44" i="3"/>
  <c r="AG38" i="3"/>
  <c r="AG27" i="3"/>
  <c r="AF51" i="3"/>
  <c r="AF53" i="3"/>
  <c r="AG16" i="3"/>
  <c r="AF20" i="3"/>
  <c r="AF21" i="3"/>
  <c r="AG23" i="3"/>
  <c r="AF52" i="3"/>
  <c r="AG33" i="3"/>
  <c r="AF26" i="3"/>
  <c r="AG34" i="3"/>
  <c r="X11" i="3"/>
  <c r="AG29" i="3"/>
  <c r="AG10" i="3"/>
  <c r="AG47" i="3"/>
  <c r="AG15" i="3"/>
  <c r="AF32" i="3"/>
  <c r="AG32" i="3"/>
  <c r="AG36" i="3" s="1"/>
  <c r="AF50" i="3"/>
  <c r="AG52" i="3"/>
  <c r="AG39" i="3"/>
  <c r="AF17" i="3"/>
  <c r="AF33" i="3"/>
  <c r="AG50" i="3"/>
  <c r="AG17" i="3"/>
  <c r="S11" i="3"/>
  <c r="AG21" i="3"/>
  <c r="AG53" i="3"/>
  <c r="AF38" i="3"/>
  <c r="AG28" i="3"/>
  <c r="AG20" i="3"/>
  <c r="AG24" i="3" s="1"/>
  <c r="AG11" i="3"/>
  <c r="AF44" i="3"/>
  <c r="AF15" i="3"/>
  <c r="AG51" i="3"/>
  <c r="AG8" i="3"/>
  <c r="AG12" i="3" s="1"/>
  <c r="AF39" i="3"/>
  <c r="AF9" i="3"/>
  <c r="AF22" i="3"/>
  <c r="AF40" i="3"/>
  <c r="AF46" i="3"/>
  <c r="AF27" i="3"/>
  <c r="AF14" i="3"/>
  <c r="AF16" i="3"/>
  <c r="T26" i="3"/>
  <c r="X41" i="3"/>
  <c r="S41" i="3"/>
  <c r="T12" i="3"/>
  <c r="T15" i="3"/>
  <c r="X43" i="3"/>
  <c r="S43" i="3"/>
  <c r="T17" i="3"/>
  <c r="T18" i="3"/>
  <c r="T45" i="3"/>
  <c r="T13" i="3"/>
  <c r="T47" i="3"/>
  <c r="T40" i="3"/>
  <c r="T43" i="3" l="1"/>
  <c r="AI27" i="3"/>
  <c r="AI9" i="3"/>
  <c r="AH9" i="3"/>
  <c r="U40" i="3" s="1"/>
  <c r="AI15" i="3"/>
  <c r="T11" i="3"/>
  <c r="AE40" i="3" s="1"/>
  <c r="AI17" i="3"/>
  <c r="AI26" i="3"/>
  <c r="AF30" i="3"/>
  <c r="AI21" i="3"/>
  <c r="AI51" i="3"/>
  <c r="AG18" i="3"/>
  <c r="AI28" i="3"/>
  <c r="AI45" i="3"/>
  <c r="T41" i="3"/>
  <c r="AI46" i="3"/>
  <c r="AI39" i="3"/>
  <c r="AF48" i="3"/>
  <c r="AI44" i="3"/>
  <c r="AF42" i="3"/>
  <c r="AI38" i="3"/>
  <c r="AI32" i="3"/>
  <c r="AF36" i="3"/>
  <c r="AF24" i="3"/>
  <c r="AI20" i="3"/>
  <c r="AI47" i="3"/>
  <c r="AI35" i="3"/>
  <c r="AI34" i="3"/>
  <c r="T30" i="3"/>
  <c r="AI16" i="3"/>
  <c r="AI40" i="3"/>
  <c r="AG54" i="3"/>
  <c r="AI52" i="3"/>
  <c r="AG42" i="3"/>
  <c r="AG30" i="3"/>
  <c r="AH11" i="3"/>
  <c r="AI11" i="3"/>
  <c r="AI41" i="3"/>
  <c r="AI10" i="3"/>
  <c r="AH10" i="3"/>
  <c r="AI23" i="3"/>
  <c r="T27" i="3"/>
  <c r="AI14" i="3"/>
  <c r="AF18" i="3"/>
  <c r="AI22" i="3"/>
  <c r="AI33" i="3"/>
  <c r="AF54" i="3"/>
  <c r="AI50" i="3"/>
  <c r="AI53" i="3"/>
  <c r="AG48" i="3"/>
  <c r="AH8" i="3"/>
  <c r="AI8" i="3"/>
  <c r="AF12" i="3"/>
  <c r="AI29" i="3"/>
  <c r="AI55" i="3" l="1"/>
  <c r="AI54" i="3" s="1"/>
  <c r="AI19" i="3"/>
  <c r="AI18" i="3" s="1"/>
  <c r="AJ23" i="3"/>
  <c r="AC39" i="3"/>
  <c r="AJ22" i="3"/>
  <c r="U8" i="3"/>
  <c r="AI25" i="3"/>
  <c r="AI24" i="3" s="1"/>
  <c r="AI37" i="3"/>
  <c r="AI36" i="3" s="1"/>
  <c r="AI31" i="3"/>
  <c r="AI30" i="3" s="1"/>
  <c r="AJ26" i="3"/>
  <c r="AJ15" i="3"/>
  <c r="AI13" i="3"/>
  <c r="AI12" i="3" s="1"/>
  <c r="AJ8" i="3"/>
  <c r="U24" i="3"/>
  <c r="U39" i="3"/>
  <c r="AI49" i="3"/>
  <c r="AI48" i="3" s="1"/>
  <c r="AJ44" i="3"/>
  <c r="AJ21" i="3"/>
  <c r="V40" i="3"/>
  <c r="W40" i="3"/>
  <c r="U23" i="3"/>
  <c r="U7" i="3"/>
  <c r="AH13" i="3"/>
  <c r="AH12" i="3" s="1"/>
  <c r="AJ16" i="3"/>
  <c r="AJ34" i="3"/>
  <c r="AI43" i="3"/>
  <c r="AI42" i="3" s="1"/>
  <c r="AJ46" i="3"/>
  <c r="AJ45" i="3"/>
  <c r="AJ17" i="3"/>
  <c r="AD29" i="3"/>
  <c r="AE34" i="3"/>
  <c r="AC9" i="3"/>
  <c r="AC40" i="3"/>
  <c r="AD22" i="3"/>
  <c r="AD52" i="3"/>
  <c r="AC34" i="3"/>
  <c r="AE33" i="3"/>
  <c r="AD32" i="3"/>
  <c r="AD8" i="3"/>
  <c r="AD33" i="3"/>
  <c r="AC45" i="3"/>
  <c r="AD23" i="3"/>
  <c r="AD17" i="3"/>
  <c r="AC11" i="3"/>
  <c r="AD40" i="3"/>
  <c r="AC46" i="3"/>
  <c r="AC8" i="3"/>
  <c r="AD15" i="3"/>
  <c r="AE45" i="3"/>
  <c r="AE47" i="3"/>
  <c r="AE20" i="3"/>
  <c r="AD9" i="3"/>
  <c r="AD21" i="3"/>
  <c r="AC33" i="3"/>
  <c r="AK33" i="3" s="1"/>
  <c r="AD11" i="3"/>
  <c r="AC15" i="3"/>
  <c r="AK15" i="3" s="1"/>
  <c r="AE38" i="3"/>
  <c r="AC23" i="3"/>
  <c r="AK23" i="3" s="1"/>
  <c r="AC41" i="3"/>
  <c r="AC10" i="3"/>
  <c r="AE14" i="3"/>
  <c r="AC50" i="3"/>
  <c r="AE46" i="3"/>
  <c r="AD47" i="3"/>
  <c r="AE28" i="3"/>
  <c r="AD27" i="3"/>
  <c r="AD50" i="3"/>
  <c r="AE29" i="3"/>
  <c r="AD14" i="3"/>
  <c r="AE17" i="3"/>
  <c r="AE27" i="3"/>
  <c r="AE10" i="3"/>
  <c r="AD38" i="3"/>
  <c r="AC21" i="3"/>
  <c r="AK21" i="3" s="1"/>
  <c r="AC26" i="3"/>
  <c r="AD39" i="3"/>
  <c r="AE50" i="3"/>
  <c r="AC22" i="3"/>
  <c r="AK22" i="3" s="1"/>
  <c r="AD26" i="3"/>
  <c r="AD45" i="3"/>
  <c r="AC35" i="3"/>
  <c r="AE26" i="3"/>
  <c r="AE30" i="3" s="1"/>
  <c r="AE53" i="3"/>
  <c r="AE41" i="3"/>
  <c r="AE51" i="3"/>
  <c r="AE16" i="3"/>
  <c r="AE23" i="3"/>
  <c r="AC17" i="3"/>
  <c r="AK17" i="3" s="1"/>
  <c r="AD28" i="3"/>
  <c r="AE21" i="3"/>
  <c r="AE8" i="3"/>
  <c r="AE39" i="3"/>
  <c r="AD34" i="3"/>
  <c r="AE22" i="3"/>
  <c r="AD44" i="3"/>
  <c r="AC20" i="3"/>
  <c r="AE32" i="3"/>
  <c r="AC16" i="3"/>
  <c r="AC52" i="3"/>
  <c r="AK52" i="3" s="1"/>
  <c r="AC51" i="3"/>
  <c r="AD20" i="3"/>
  <c r="AD24" i="3" s="1"/>
  <c r="AC29" i="3"/>
  <c r="AK29" i="3" s="1"/>
  <c r="AC27" i="3"/>
  <c r="AK27" i="3" s="1"/>
  <c r="AD46" i="3"/>
  <c r="AD16" i="3"/>
  <c r="AD53" i="3"/>
  <c r="AD10" i="3"/>
  <c r="AC47" i="3"/>
  <c r="AK47" i="3" s="1"/>
  <c r="AD51" i="3"/>
  <c r="AE44" i="3"/>
  <c r="AE48" i="3" s="1"/>
  <c r="AC53" i="3"/>
  <c r="AK53" i="3" s="1"/>
  <c r="AD35" i="3"/>
  <c r="AE11" i="3"/>
  <c r="AC38" i="3"/>
  <c r="AC32" i="3"/>
  <c r="AE15" i="3"/>
  <c r="AC14" i="3"/>
  <c r="AC44" i="3"/>
  <c r="AC28" i="3"/>
  <c r="AK28" i="3" s="1"/>
  <c r="AE9" i="3"/>
  <c r="AD41" i="3"/>
  <c r="AE35" i="3"/>
  <c r="AE52" i="3"/>
  <c r="AJ9" i="3"/>
  <c r="AK14" i="3" l="1"/>
  <c r="AC18" i="3"/>
  <c r="AE36" i="3"/>
  <c r="AK35" i="3"/>
  <c r="AE54" i="3"/>
  <c r="AD42" i="3"/>
  <c r="AD18" i="3"/>
  <c r="AE18" i="3"/>
  <c r="AE42" i="3"/>
  <c r="AK45" i="3"/>
  <c r="AK40" i="3"/>
  <c r="AJ38" i="3"/>
  <c r="AJ47" i="3"/>
  <c r="AJ53" i="3"/>
  <c r="AJ39" i="3"/>
  <c r="AJ20" i="3"/>
  <c r="AJ11" i="3"/>
  <c r="AJ51" i="3"/>
  <c r="AH47" i="3"/>
  <c r="AK51" i="3"/>
  <c r="AK20" i="3"/>
  <c r="AC24" i="3"/>
  <c r="AH17" i="3"/>
  <c r="AK10" i="3"/>
  <c r="AH15" i="3"/>
  <c r="AK11" i="3"/>
  <c r="AK34" i="3"/>
  <c r="AK9" i="3"/>
  <c r="V7" i="3"/>
  <c r="W7" i="3"/>
  <c r="W39" i="3"/>
  <c r="V39" i="3"/>
  <c r="AJ35" i="3"/>
  <c r="W8" i="3"/>
  <c r="V8" i="3"/>
  <c r="AJ41" i="3"/>
  <c r="AH28" i="3"/>
  <c r="AC36" i="3"/>
  <c r="AK32" i="3"/>
  <c r="AH53" i="3"/>
  <c r="AH27" i="3"/>
  <c r="U46" i="3" s="1"/>
  <c r="AH52" i="3"/>
  <c r="U22" i="3" s="1"/>
  <c r="AD48" i="3"/>
  <c r="AE12" i="3"/>
  <c r="AD30" i="3"/>
  <c r="AC30" i="3"/>
  <c r="AK26" i="3"/>
  <c r="AD54" i="3"/>
  <c r="AK41" i="3"/>
  <c r="AE24" i="3"/>
  <c r="AK8" i="3"/>
  <c r="AC12" i="3"/>
  <c r="AD12" i="3"/>
  <c r="V23" i="3"/>
  <c r="W23" i="3"/>
  <c r="W24" i="3"/>
  <c r="V24" i="3"/>
  <c r="AJ32" i="3"/>
  <c r="AJ40" i="3"/>
  <c r="AJ50" i="3"/>
  <c r="AK44" i="3"/>
  <c r="AC48" i="3"/>
  <c r="AK38" i="3"/>
  <c r="AC42" i="3"/>
  <c r="AH29" i="3"/>
  <c r="AK16" i="3"/>
  <c r="AH22" i="3"/>
  <c r="AH21" i="3"/>
  <c r="U44" i="3" s="1"/>
  <c r="AK50" i="3"/>
  <c r="AC54" i="3"/>
  <c r="AH23" i="3"/>
  <c r="AH33" i="3"/>
  <c r="AK46" i="3"/>
  <c r="AD36" i="3"/>
  <c r="AJ33" i="3"/>
  <c r="AJ10" i="3"/>
  <c r="AJ27" i="3"/>
  <c r="AJ28" i="3"/>
  <c r="AJ52" i="3"/>
  <c r="AK39" i="3"/>
  <c r="AJ14" i="3"/>
  <c r="AJ29" i="3"/>
  <c r="AH39" i="3" l="1"/>
  <c r="U50" i="3" s="1"/>
  <c r="V44" i="3"/>
  <c r="W44" i="3"/>
  <c r="AH16" i="3"/>
  <c r="U10" i="3" s="1"/>
  <c r="AH41" i="3"/>
  <c r="AK30" i="3"/>
  <c r="AH26" i="3"/>
  <c r="AK24" i="3"/>
  <c r="AH20" i="3"/>
  <c r="AH45" i="3"/>
  <c r="U45" i="3"/>
  <c r="U30" i="3"/>
  <c r="V22" i="3"/>
  <c r="W22" i="3"/>
  <c r="U53" i="3"/>
  <c r="AK36" i="3"/>
  <c r="AH32" i="3"/>
  <c r="AH51" i="3"/>
  <c r="U54" i="3" s="1"/>
  <c r="U28" i="3"/>
  <c r="U43" i="3"/>
  <c r="U12" i="3"/>
  <c r="AK42" i="3"/>
  <c r="AH38" i="3"/>
  <c r="AK48" i="3"/>
  <c r="AH44" i="3"/>
  <c r="U51" i="3" s="1"/>
  <c r="AK12" i="3"/>
  <c r="AH34" i="3"/>
  <c r="U16" i="3" s="1"/>
  <c r="AH35" i="3"/>
  <c r="AH46" i="3"/>
  <c r="U20" i="3" s="1"/>
  <c r="AK54" i="3"/>
  <c r="AH50" i="3"/>
  <c r="W46" i="3"/>
  <c r="V46" i="3"/>
  <c r="U14" i="3"/>
  <c r="U26" i="3"/>
  <c r="U41" i="3"/>
  <c r="AH40" i="3"/>
  <c r="U18" i="3" s="1"/>
  <c r="AK18" i="3"/>
  <c r="AH14" i="3"/>
  <c r="W51" i="3" l="1"/>
  <c r="V51" i="3"/>
  <c r="W16" i="3"/>
  <c r="V16" i="3"/>
  <c r="AH19" i="3"/>
  <c r="AH18" i="3" s="1"/>
  <c r="U25" i="3"/>
  <c r="U9" i="3"/>
  <c r="W14" i="3"/>
  <c r="V14" i="3"/>
  <c r="U32" i="3"/>
  <c r="U47" i="3"/>
  <c r="U33" i="3"/>
  <c r="AH43" i="3"/>
  <c r="AH42" i="3" s="1"/>
  <c r="U17" i="3"/>
  <c r="V43" i="3"/>
  <c r="W43" i="3"/>
  <c r="U38" i="3"/>
  <c r="V30" i="3"/>
  <c r="W30" i="3"/>
  <c r="AH25" i="3"/>
  <c r="AH24" i="3" s="1"/>
  <c r="U11" i="3"/>
  <c r="U27" i="3"/>
  <c r="AH31" i="3"/>
  <c r="AH30" i="3" s="1"/>
  <c r="U29" i="3"/>
  <c r="U13" i="3"/>
  <c r="V28" i="3"/>
  <c r="W28" i="3"/>
  <c r="U31" i="3"/>
  <c r="AH37" i="3"/>
  <c r="AH36" i="3" s="1"/>
  <c r="U15" i="3"/>
  <c r="V53" i="3"/>
  <c r="W53" i="3"/>
  <c r="V45" i="3"/>
  <c r="W45" i="3"/>
  <c r="W10" i="3"/>
  <c r="V10" i="3"/>
  <c r="U48" i="3"/>
  <c r="W20" i="3"/>
  <c r="V20" i="3"/>
  <c r="U52" i="3"/>
  <c r="W50" i="3"/>
  <c r="V50" i="3"/>
  <c r="V41" i="3"/>
  <c r="W41" i="3"/>
  <c r="U35" i="3"/>
  <c r="U19" i="3"/>
  <c r="AH49" i="3"/>
  <c r="AH48" i="3" s="1"/>
  <c r="V26" i="3"/>
  <c r="W26" i="3"/>
  <c r="V54" i="3"/>
  <c r="W54" i="3"/>
  <c r="W18" i="3"/>
  <c r="V18" i="3"/>
  <c r="U21" i="3"/>
  <c r="U37" i="3"/>
  <c r="AH55" i="3"/>
  <c r="AH54" i="3" s="1"/>
  <c r="U36" i="3"/>
  <c r="V12" i="3"/>
  <c r="W12" i="3"/>
  <c r="U42" i="3"/>
  <c r="U34" i="3"/>
  <c r="U49" i="3"/>
  <c r="V49" i="3" l="1"/>
  <c r="W49" i="3"/>
  <c r="W21" i="3"/>
  <c r="V21" i="3"/>
  <c r="V52" i="3"/>
  <c r="W52" i="3"/>
  <c r="V31" i="3"/>
  <c r="W31" i="3"/>
  <c r="V13" i="3"/>
  <c r="W13" i="3"/>
  <c r="W11" i="3"/>
  <c r="V11" i="3"/>
  <c r="W38" i="3"/>
  <c r="V38" i="3"/>
  <c r="V17" i="3"/>
  <c r="W17" i="3"/>
  <c r="V32" i="3"/>
  <c r="W32" i="3"/>
  <c r="V9" i="3"/>
  <c r="W9" i="3"/>
  <c r="AS10" i="3"/>
  <c r="AQ34" i="3"/>
  <c r="AR9" i="3"/>
  <c r="AS21" i="3"/>
  <c r="AQ27" i="3"/>
  <c r="AR15" i="3"/>
  <c r="AP34" i="3"/>
  <c r="AP38" i="3"/>
  <c r="AP41" i="3"/>
  <c r="AR53" i="3"/>
  <c r="AQ38" i="3"/>
  <c r="AP11" i="3"/>
  <c r="AQ41" i="3"/>
  <c r="AP23" i="3"/>
  <c r="AS40" i="3"/>
  <c r="AR46" i="3"/>
  <c r="AR32" i="3"/>
  <c r="AR51" i="3"/>
  <c r="AP29" i="3"/>
  <c r="AQ9" i="3"/>
  <c r="AQ21" i="3"/>
  <c r="AQ28" i="3"/>
  <c r="AR27" i="3"/>
  <c r="AS32" i="3"/>
  <c r="AP14" i="3"/>
  <c r="AQ40" i="3"/>
  <c r="AS51" i="3"/>
  <c r="AS23" i="3"/>
  <c r="AP52" i="3"/>
  <c r="AQ16" i="3"/>
  <c r="AQ15" i="3"/>
  <c r="AP45" i="3"/>
  <c r="AR44" i="3"/>
  <c r="AR34" i="3"/>
  <c r="AT34" i="3" s="1"/>
  <c r="AS22" i="3"/>
  <c r="AS34" i="3"/>
  <c r="AP21" i="3"/>
  <c r="AR23" i="3"/>
  <c r="AT23" i="3" s="1"/>
  <c r="AR8" i="3"/>
  <c r="AS15" i="3"/>
  <c r="AR20" i="3"/>
  <c r="AR14" i="3"/>
  <c r="AP44" i="3"/>
  <c r="AR26" i="3"/>
  <c r="AR41" i="3"/>
  <c r="AR35" i="3"/>
  <c r="AS41" i="3"/>
  <c r="AS39" i="3"/>
  <c r="AR40" i="3"/>
  <c r="AT40" i="3" s="1"/>
  <c r="AR52" i="3"/>
  <c r="AP27" i="3"/>
  <c r="AR29" i="3"/>
  <c r="AQ17" i="3"/>
  <c r="AP32" i="3"/>
  <c r="AR16" i="3"/>
  <c r="AS45" i="3"/>
  <c r="AQ26" i="3"/>
  <c r="AQ22" i="3"/>
  <c r="AP9" i="3"/>
  <c r="AR45" i="3"/>
  <c r="AT45" i="3" s="1"/>
  <c r="AS29" i="3"/>
  <c r="AR11" i="3"/>
  <c r="AS35" i="3"/>
  <c r="AP28" i="3"/>
  <c r="AP40" i="3"/>
  <c r="AS20" i="3"/>
  <c r="AS24" i="3" s="1"/>
  <c r="AQ51" i="3"/>
  <c r="AS27" i="3"/>
  <c r="AP16" i="3"/>
  <c r="AS44" i="3"/>
  <c r="AP53" i="3"/>
  <c r="AP22" i="3"/>
  <c r="AQ11" i="3"/>
  <c r="AS26" i="3"/>
  <c r="AQ8" i="3"/>
  <c r="AP8" i="3"/>
  <c r="AP33" i="3"/>
  <c r="AR22" i="3"/>
  <c r="AT22" i="3" s="1"/>
  <c r="AS11" i="3"/>
  <c r="AR33" i="3"/>
  <c r="AP26" i="3"/>
  <c r="AQ29" i="3"/>
  <c r="AQ53" i="3"/>
  <c r="AR17" i="3"/>
  <c r="AP51" i="3"/>
  <c r="AQ14" i="3"/>
  <c r="AQ18" i="3" s="1"/>
  <c r="AQ32" i="3"/>
  <c r="AP50" i="3"/>
  <c r="AS33" i="3"/>
  <c r="AQ10" i="3"/>
  <c r="AP39" i="3"/>
  <c r="AQ20" i="3"/>
  <c r="AS46" i="3"/>
  <c r="AS52" i="3"/>
  <c r="AR50" i="3"/>
  <c r="AQ39" i="3"/>
  <c r="AS38" i="3"/>
  <c r="AS42" i="3" s="1"/>
  <c r="AS17" i="3"/>
  <c r="AR39" i="3"/>
  <c r="AT39" i="3" s="1"/>
  <c r="AQ46" i="3"/>
  <c r="AQ35" i="3"/>
  <c r="AQ33" i="3"/>
  <c r="AQ50" i="3"/>
  <c r="AP17" i="3"/>
  <c r="AS14" i="3"/>
  <c r="AR21" i="3"/>
  <c r="AT21" i="3" s="1"/>
  <c r="AR38" i="3"/>
  <c r="AS8" i="3"/>
  <c r="AP15" i="3"/>
  <c r="AR47" i="3"/>
  <c r="AT47" i="3" s="1"/>
  <c r="AS28" i="3"/>
  <c r="AS47" i="3"/>
  <c r="AR28" i="3"/>
  <c r="AS9" i="3"/>
  <c r="AP10" i="3"/>
  <c r="AQ45" i="3"/>
  <c r="AQ52" i="3"/>
  <c r="AP47" i="3"/>
  <c r="AP20" i="3"/>
  <c r="AQ23" i="3"/>
  <c r="AR10" i="3"/>
  <c r="AT10" i="3" s="1"/>
  <c r="AQ47" i="3"/>
  <c r="AS50" i="3"/>
  <c r="AP35" i="3"/>
  <c r="AP46" i="3"/>
  <c r="AS53" i="3"/>
  <c r="AS16" i="3"/>
  <c r="AQ44" i="3"/>
  <c r="W34" i="3"/>
  <c r="V34" i="3"/>
  <c r="V36" i="3"/>
  <c r="W36" i="3"/>
  <c r="V19" i="3"/>
  <c r="W19" i="3"/>
  <c r="V29" i="3"/>
  <c r="W29" i="3"/>
  <c r="W25" i="3"/>
  <c r="V25" i="3"/>
  <c r="V42" i="3"/>
  <c r="W42" i="3"/>
  <c r="V35" i="3"/>
  <c r="W35" i="3"/>
  <c r="V15" i="3"/>
  <c r="W15" i="3"/>
  <c r="W33" i="3"/>
  <c r="V33" i="3"/>
  <c r="V37" i="3"/>
  <c r="W37" i="3"/>
  <c r="V48" i="3"/>
  <c r="W48" i="3"/>
  <c r="W27" i="3"/>
  <c r="V27" i="3"/>
  <c r="W47" i="3"/>
  <c r="V47" i="3"/>
  <c r="AQ48" i="3" l="1"/>
  <c r="AS12" i="3"/>
  <c r="AQ24" i="3"/>
  <c r="AL21" i="3" s="1"/>
  <c r="AP54" i="3"/>
  <c r="AT17" i="3"/>
  <c r="AT33" i="3"/>
  <c r="AP12" i="3"/>
  <c r="AT29" i="3"/>
  <c r="AT26" i="3"/>
  <c r="AR30" i="3"/>
  <c r="AS36" i="3"/>
  <c r="AT46" i="3"/>
  <c r="AP42" i="3"/>
  <c r="AL39" i="3" s="1"/>
  <c r="AS54" i="3"/>
  <c r="AP24" i="3"/>
  <c r="AL22" i="3" s="1"/>
  <c r="AT38" i="3"/>
  <c r="AT42" i="3" s="1"/>
  <c r="AR42" i="3"/>
  <c r="AQ54" i="3"/>
  <c r="AT50" i="3"/>
  <c r="AR54" i="3"/>
  <c r="AQ36" i="3"/>
  <c r="AQ12" i="3"/>
  <c r="AT16" i="3"/>
  <c r="AP48" i="3"/>
  <c r="AR12" i="3"/>
  <c r="AT8" i="3"/>
  <c r="AT27" i="3"/>
  <c r="AQ42" i="3"/>
  <c r="AT9" i="3"/>
  <c r="AS30" i="3"/>
  <c r="AS48" i="3"/>
  <c r="AT11" i="3"/>
  <c r="AP36" i="3"/>
  <c r="AT52" i="3"/>
  <c r="AT35" i="3"/>
  <c r="AL35" i="3" s="1"/>
  <c r="AT14" i="3"/>
  <c r="AR18" i="3"/>
  <c r="AT51" i="3"/>
  <c r="AT53" i="3"/>
  <c r="AT15" i="3"/>
  <c r="AT28" i="3"/>
  <c r="AS18" i="3"/>
  <c r="AP30" i="3"/>
  <c r="AL40" i="3"/>
  <c r="AQ30" i="3"/>
  <c r="AT41" i="3"/>
  <c r="AT20" i="3"/>
  <c r="AT24" i="3" s="1"/>
  <c r="AR24" i="3"/>
  <c r="AL23" i="3" s="1"/>
  <c r="AT44" i="3"/>
  <c r="AR48" i="3"/>
  <c r="AP18" i="3"/>
  <c r="AR36" i="3"/>
  <c r="AT32" i="3"/>
  <c r="AT36" i="3" s="1"/>
  <c r="AL34" i="3" s="1"/>
  <c r="AL27" i="3" l="1"/>
  <c r="AL51" i="3"/>
  <c r="AT30" i="3"/>
  <c r="AT12" i="3"/>
  <c r="AL8" i="3" s="1"/>
  <c r="AT54" i="3"/>
  <c r="AL10" i="3"/>
  <c r="AL38" i="3"/>
  <c r="AL50" i="3"/>
  <c r="AT48" i="3"/>
  <c r="AL33" i="3"/>
  <c r="AL32" i="3"/>
  <c r="AL20" i="3"/>
  <c r="AL28" i="3"/>
  <c r="AL41" i="3"/>
  <c r="AL26" i="3"/>
  <c r="AT18" i="3"/>
  <c r="AL16" i="3" s="1"/>
  <c r="AL29" i="3"/>
  <c r="AL9" i="3"/>
  <c r="AN33" i="3" l="1"/>
  <c r="AN51" i="3"/>
  <c r="AL15" i="3"/>
  <c r="AL45" i="3"/>
  <c r="AL44" i="3"/>
  <c r="AL52" i="3"/>
  <c r="AL53" i="3"/>
  <c r="AL46" i="3"/>
  <c r="AL30" i="3"/>
  <c r="AN28" i="3" s="1"/>
  <c r="AA28" i="3" s="1"/>
  <c r="AN26" i="3"/>
  <c r="AL24" i="3"/>
  <c r="AL54" i="3"/>
  <c r="AN50" i="3"/>
  <c r="AN27" i="3"/>
  <c r="AN29" i="3"/>
  <c r="AL14" i="3"/>
  <c r="AL36" i="3"/>
  <c r="AN32" i="3"/>
  <c r="AL42" i="3"/>
  <c r="AN38" i="3" s="1"/>
  <c r="AL47" i="3"/>
  <c r="AL11" i="3"/>
  <c r="AL12" i="3" s="1"/>
  <c r="AL17" i="3"/>
  <c r="AN9" i="3" l="1"/>
  <c r="AN8" i="3"/>
  <c r="AA8" i="3" s="1"/>
  <c r="AN10" i="3"/>
  <c r="AA27" i="3"/>
  <c r="AL18" i="3"/>
  <c r="AN16" i="3" s="1"/>
  <c r="AN21" i="3"/>
  <c r="AN23" i="3"/>
  <c r="AN22" i="3"/>
  <c r="AA22" i="3" s="1"/>
  <c r="AN52" i="3"/>
  <c r="AN40" i="3"/>
  <c r="AN39" i="3"/>
  <c r="AA39" i="3" s="1"/>
  <c r="AA29" i="3"/>
  <c r="AA26" i="3"/>
  <c r="AL48" i="3"/>
  <c r="AN46" i="3" s="1"/>
  <c r="AN44" i="3"/>
  <c r="AN11" i="3"/>
  <c r="AA33" i="3"/>
  <c r="AN47" i="3"/>
  <c r="AN35" i="3"/>
  <c r="AA35" i="3" s="1"/>
  <c r="AN34" i="3"/>
  <c r="AN20" i="3"/>
  <c r="AN53" i="3"/>
  <c r="AA53" i="3" s="1"/>
  <c r="AN41" i="3"/>
  <c r="AA41" i="3" l="1"/>
  <c r="AA11" i="3"/>
  <c r="AA52" i="3"/>
  <c r="AN14" i="3"/>
  <c r="AA10" i="3"/>
  <c r="N9" i="3" s="1"/>
  <c r="L12" i="3"/>
  <c r="N12" i="3"/>
  <c r="N11" i="3"/>
  <c r="N10" i="3"/>
  <c r="M10" i="3"/>
  <c r="O10" i="3"/>
  <c r="M12" i="3"/>
  <c r="L10" i="3"/>
  <c r="J10" i="3"/>
  <c r="AO9" i="3" s="1"/>
  <c r="AZ27" i="3" s="1"/>
  <c r="O11" i="3"/>
  <c r="AA51" i="3"/>
  <c r="AA20" i="3"/>
  <c r="AA40" i="3"/>
  <c r="AA23" i="3"/>
  <c r="AN45" i="3"/>
  <c r="AA45" i="3" s="1"/>
  <c r="AA50" i="3"/>
  <c r="AA9" i="3"/>
  <c r="L9" i="3" s="1"/>
  <c r="AA34" i="3"/>
  <c r="AA32" i="3"/>
  <c r="O27" i="3"/>
  <c r="M28" i="3"/>
  <c r="N28" i="3"/>
  <c r="N30" i="3"/>
  <c r="N29" i="3"/>
  <c r="N27" i="3"/>
  <c r="L29" i="3"/>
  <c r="J29" i="3"/>
  <c r="O29" i="3"/>
  <c r="M29" i="3"/>
  <c r="J30" i="3"/>
  <c r="J28" i="3"/>
  <c r="AO27" i="3" s="1"/>
  <c r="AZ15" i="3" s="1"/>
  <c r="O30" i="3"/>
  <c r="M27" i="3"/>
  <c r="L28" i="3"/>
  <c r="M30" i="3"/>
  <c r="L30" i="3"/>
  <c r="L27" i="3"/>
  <c r="J27" i="3"/>
  <c r="AO26" i="3" s="1"/>
  <c r="AZ30" i="3" s="1"/>
  <c r="O28" i="3"/>
  <c r="AN15" i="3"/>
  <c r="AA15" i="3" s="1"/>
  <c r="AA21" i="3"/>
  <c r="AN17" i="3"/>
  <c r="AA38" i="3"/>
  <c r="K30" i="3" l="1"/>
  <c r="P30" i="3"/>
  <c r="L52" i="3"/>
  <c r="J52" i="3"/>
  <c r="AO51" i="3" s="1"/>
  <c r="AZ23" i="3" s="1"/>
  <c r="N51" i="3"/>
  <c r="O54" i="3"/>
  <c r="L54" i="3"/>
  <c r="L51" i="3"/>
  <c r="M52" i="3"/>
  <c r="O51" i="3"/>
  <c r="O52" i="3"/>
  <c r="N54" i="3"/>
  <c r="J53" i="3"/>
  <c r="O53" i="3"/>
  <c r="J54" i="3"/>
  <c r="N52" i="3"/>
  <c r="N53" i="3"/>
  <c r="L53" i="3"/>
  <c r="J51" i="3"/>
  <c r="AO50" i="3" s="1"/>
  <c r="AZ38" i="3" s="1"/>
  <c r="M51" i="3"/>
  <c r="M54" i="3"/>
  <c r="M53" i="3"/>
  <c r="AA14" i="3"/>
  <c r="P27" i="3"/>
  <c r="K27" i="3"/>
  <c r="M11" i="3"/>
  <c r="P10" i="3"/>
  <c r="K10" i="3"/>
  <c r="J11" i="3"/>
  <c r="J9" i="3"/>
  <c r="AO8" i="3" s="1"/>
  <c r="AZ10" i="3" s="1"/>
  <c r="AA47" i="3"/>
  <c r="K12" i="3"/>
  <c r="P12" i="3"/>
  <c r="M41" i="3"/>
  <c r="L40" i="3"/>
  <c r="J40" i="3"/>
  <c r="AO39" i="3" s="1"/>
  <c r="AZ19" i="3" s="1"/>
  <c r="M42" i="3"/>
  <c r="O41" i="3"/>
  <c r="M40" i="3"/>
  <c r="N41" i="3"/>
  <c r="J41" i="3"/>
  <c r="O40" i="3"/>
  <c r="M39" i="3"/>
  <c r="N42" i="3"/>
  <c r="O39" i="3"/>
  <c r="L41" i="3"/>
  <c r="L39" i="3"/>
  <c r="O42" i="3"/>
  <c r="J39" i="3"/>
  <c r="AO38" i="3" s="1"/>
  <c r="AZ34" i="3" s="1"/>
  <c r="L42" i="3"/>
  <c r="N39" i="3"/>
  <c r="J42" i="3"/>
  <c r="N40" i="3"/>
  <c r="AA16" i="3"/>
  <c r="O9" i="3"/>
  <c r="M23" i="3"/>
  <c r="N24" i="3"/>
  <c r="L23" i="3"/>
  <c r="J21" i="3"/>
  <c r="AO20" i="3" s="1"/>
  <c r="AZ14" i="3" s="1"/>
  <c r="L21" i="3"/>
  <c r="O24" i="3"/>
  <c r="O23" i="3"/>
  <c r="M21" i="3"/>
  <c r="L24" i="3"/>
  <c r="O22" i="3"/>
  <c r="O21" i="3"/>
  <c r="N21" i="3"/>
  <c r="L22" i="3"/>
  <c r="N23" i="3"/>
  <c r="M22" i="3"/>
  <c r="J22" i="3"/>
  <c r="AO21" i="3" s="1"/>
  <c r="AZ31" i="3" s="1"/>
  <c r="M24" i="3"/>
  <c r="N22" i="3"/>
  <c r="J24" i="3"/>
  <c r="J23" i="3"/>
  <c r="J35" i="3"/>
  <c r="N33" i="3"/>
  <c r="O35" i="3"/>
  <c r="L34" i="3"/>
  <c r="J34" i="3"/>
  <c r="AO33" i="3" s="1"/>
  <c r="AZ35" i="3" s="1"/>
  <c r="L36" i="3"/>
  <c r="N34" i="3"/>
  <c r="M33" i="3"/>
  <c r="L35" i="3"/>
  <c r="J33" i="3"/>
  <c r="AO32" i="3" s="1"/>
  <c r="AZ18" i="3" s="1"/>
  <c r="J36" i="3"/>
  <c r="M35" i="3"/>
  <c r="M34" i="3"/>
  <c r="O34" i="3"/>
  <c r="N35" i="3"/>
  <c r="O36" i="3"/>
  <c r="O33" i="3"/>
  <c r="N36" i="3"/>
  <c r="M36" i="3"/>
  <c r="L33" i="3"/>
  <c r="J12" i="3"/>
  <c r="AA44" i="3"/>
  <c r="AA17" i="3"/>
  <c r="K28" i="3"/>
  <c r="P28" i="3"/>
  <c r="K29" i="3"/>
  <c r="P29" i="3"/>
  <c r="L11" i="3"/>
  <c r="O12" i="3"/>
  <c r="M9" i="3"/>
  <c r="P9" i="3" s="1"/>
  <c r="AA46" i="3"/>
  <c r="O46" i="3" l="1"/>
  <c r="O45" i="3"/>
  <c r="L48" i="3"/>
  <c r="L46" i="3"/>
  <c r="L45" i="3"/>
  <c r="M47" i="3"/>
  <c r="N46" i="3"/>
  <c r="N47" i="3"/>
  <c r="M45" i="3"/>
  <c r="J47" i="3"/>
  <c r="L47" i="3"/>
  <c r="O47" i="3"/>
  <c r="M46" i="3"/>
  <c r="N45" i="3"/>
  <c r="J48" i="3"/>
  <c r="J45" i="3"/>
  <c r="AO44" i="3" s="1"/>
  <c r="AZ22" i="3" s="1"/>
  <c r="O48" i="3"/>
  <c r="N48" i="3"/>
  <c r="J46" i="3"/>
  <c r="AO45" i="3" s="1"/>
  <c r="AZ39" i="3" s="1"/>
  <c r="M48" i="3"/>
  <c r="P36" i="3"/>
  <c r="K36" i="3"/>
  <c r="P23" i="3"/>
  <c r="K23" i="3"/>
  <c r="K42" i="3"/>
  <c r="P42" i="3"/>
  <c r="P41" i="3"/>
  <c r="K41" i="3"/>
  <c r="K53" i="3"/>
  <c r="P53" i="3"/>
  <c r="K24" i="3"/>
  <c r="P24" i="3"/>
  <c r="K9" i="3"/>
  <c r="P35" i="3"/>
  <c r="K35" i="3"/>
  <c r="K22" i="3"/>
  <c r="P22" i="3"/>
  <c r="K21" i="3"/>
  <c r="P21" i="3"/>
  <c r="P51" i="3"/>
  <c r="K51" i="3"/>
  <c r="P11" i="3"/>
  <c r="K11" i="3"/>
  <c r="K33" i="3"/>
  <c r="P33" i="3"/>
  <c r="P34" i="3"/>
  <c r="K34" i="3"/>
  <c r="K39" i="3"/>
  <c r="P39" i="3"/>
  <c r="P40" i="3"/>
  <c r="K40" i="3"/>
  <c r="M16" i="3"/>
  <c r="J15" i="3"/>
  <c r="AO14" i="3" s="1"/>
  <c r="AZ26" i="3" s="1"/>
  <c r="L18" i="3"/>
  <c r="L15" i="3"/>
  <c r="J18" i="3"/>
  <c r="O16" i="3"/>
  <c r="J16" i="3"/>
  <c r="AO15" i="3" s="1"/>
  <c r="AZ11" i="3" s="1"/>
  <c r="L16" i="3"/>
  <c r="O17" i="3"/>
  <c r="L17" i="3"/>
  <c r="N17" i="3"/>
  <c r="M15" i="3"/>
  <c r="M18" i="3"/>
  <c r="M17" i="3"/>
  <c r="J17" i="3"/>
  <c r="N18" i="3"/>
  <c r="O18" i="3"/>
  <c r="N16" i="3"/>
  <c r="O15" i="3"/>
  <c r="N15" i="3"/>
  <c r="P54" i="3"/>
  <c r="K54" i="3"/>
  <c r="P52" i="3"/>
  <c r="K52" i="3"/>
  <c r="P46" i="3" l="1"/>
  <c r="K46" i="3"/>
  <c r="P16" i="3"/>
  <c r="K16" i="3"/>
  <c r="P15" i="3"/>
  <c r="K15" i="3"/>
  <c r="K47" i="3"/>
  <c r="P47" i="3"/>
  <c r="P48" i="3"/>
  <c r="K48" i="3"/>
  <c r="K18" i="3"/>
  <c r="P18" i="3"/>
  <c r="K17" i="3"/>
  <c r="P17" i="3"/>
  <c r="P45" i="3"/>
  <c r="K45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<sst xmlns="http://schemas.openxmlformats.org/spreadsheetml/2006/main" count="4552" uniqueCount="2581">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</sst>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on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3">
    <cellStyle name="Hivatkozás" xfId="1" builtinId="8"/>
    <cellStyle name="Jegyzet" xfId="2" builtinId="10"/>
    <cellStyle name="Normál" xfId="0" builtinId="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75"/>
  </cols>
  <sheetData>
    <row r="1" spans="1:44" x14ac:dyDescent="0.25">
      <c r="A1" s="7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75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s="75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75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7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75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75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75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75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75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75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75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75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75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7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75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75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75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75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75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75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75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7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75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75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75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75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75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75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75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75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75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7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75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75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75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75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75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75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75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75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75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s="7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s="75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s="75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s="75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s="75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s="75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s="75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s="75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s="75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s="75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s="7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s="75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s="75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s="75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s="75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s="75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s="75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s="75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s="75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s="75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s="7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s="75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s="75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s="75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s="75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s="75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s="75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s="75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s="75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s="75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s="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s="75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s="75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s="75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s="75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s="75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s="75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s="75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s="75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s="75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s="7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s="75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s="75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s="75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s="75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s="75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s="75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s="75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s="75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s="75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s="7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s="75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s="75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s="75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s="75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s="75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s="75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s="75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76"/>
    </row>
    <row r="104" spans="1:44" x14ac:dyDescent="0.25">
      <c r="A104" s="76"/>
    </row>
    <row r="105" spans="1:44" x14ac:dyDescent="0.25">
      <c r="A105" s="76"/>
    </row>
    <row r="106" spans="1:44" x14ac:dyDescent="0.25">
      <c r="A106" s="76"/>
    </row>
    <row r="107" spans="1:44" x14ac:dyDescent="0.25">
      <c r="A107" s="76"/>
    </row>
    <row r="108" spans="1:44" x14ac:dyDescent="0.25">
      <c r="A108" s="76"/>
    </row>
    <row r="109" spans="1:44" x14ac:dyDescent="0.25">
      <c r="A109" s="76"/>
    </row>
    <row r="110" spans="1:44" x14ac:dyDescent="0.25">
      <c r="A110" s="76"/>
    </row>
    <row r="111" spans="1:44" x14ac:dyDescent="0.25">
      <c r="A111" s="76"/>
    </row>
    <row r="112" spans="1:44" x14ac:dyDescent="0.25">
      <c r="A112" s="76"/>
    </row>
    <row r="113" spans="1:43" x14ac:dyDescent="0.25">
      <c r="A113" s="76"/>
    </row>
    <row r="114" spans="1:43" x14ac:dyDescent="0.25">
      <c r="A114" s="76"/>
    </row>
    <row r="115" spans="1:43" x14ac:dyDescent="0.25">
      <c r="A115" s="7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4" sqref="C4"/>
    </sheetView>
  </sheetViews>
  <sheetFormatPr defaultColWidth="9.140625"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77" t="s">
        <v>2113</v>
      </c>
      <c r="C2" s="78"/>
      <c r="D2" s="79"/>
      <c r="F2" s="77" t="s">
        <v>2114</v>
      </c>
      <c r="G2" s="78"/>
      <c r="H2" s="79"/>
    </row>
    <row r="3" spans="2:9" ht="9" customHeight="1" x14ac:dyDescent="0.25">
      <c r="B3" s="80"/>
      <c r="C3" s="81"/>
      <c r="D3" s="82"/>
      <c r="F3" s="80"/>
      <c r="G3" s="81"/>
      <c r="H3" s="82"/>
    </row>
    <row r="4" spans="2:9" x14ac:dyDescent="0.25">
      <c r="B4" s="92" t="s">
        <v>2115</v>
      </c>
      <c r="C4" s="98" t="s">
        <v>18</v>
      </c>
      <c r="D4" s="82"/>
      <c r="F4" s="80"/>
      <c r="G4" s="83"/>
      <c r="H4" s="82"/>
    </row>
    <row r="5" spans="2:9" x14ac:dyDescent="0.25">
      <c r="B5" s="80"/>
      <c r="C5" s="81"/>
      <c r="D5" s="82"/>
      <c r="F5" s="84" t="s">
        <v>2116</v>
      </c>
      <c r="G5" s="85" t="s">
        <v>2117</v>
      </c>
      <c r="H5" s="82"/>
    </row>
    <row r="6" spans="2:9" x14ac:dyDescent="0.25">
      <c r="B6" s="92" t="s">
        <v>2118</v>
      </c>
      <c r="C6" s="98" t="s">
        <v>2182</v>
      </c>
      <c r="D6" s="82"/>
      <c r="F6" s="84" t="s">
        <v>2119</v>
      </c>
      <c r="G6" s="86" t="s">
        <v>2120</v>
      </c>
      <c r="H6" s="82"/>
    </row>
    <row r="7" spans="2:9" x14ac:dyDescent="0.25">
      <c r="B7" s="80"/>
      <c r="C7" s="81"/>
      <c r="D7" s="82"/>
      <c r="F7" s="84" t="s">
        <v>2121</v>
      </c>
      <c r="G7" s="86" t="s">
        <v>2122</v>
      </c>
      <c r="H7" s="82"/>
    </row>
    <row r="8" spans="2:9" x14ac:dyDescent="0.25">
      <c r="B8" s="92" t="s">
        <v>2123</v>
      </c>
      <c r="C8" s="98" t="s">
        <v>2124</v>
      </c>
      <c r="D8" s="82"/>
      <c r="F8" s="84" t="s">
        <v>2125</v>
      </c>
      <c r="G8" s="86" t="s">
        <v>2126</v>
      </c>
      <c r="H8" s="82"/>
    </row>
    <row r="9" spans="2:9" x14ac:dyDescent="0.25">
      <c r="B9" s="80"/>
      <c r="C9" s="81"/>
      <c r="D9" s="82"/>
      <c r="F9" s="84" t="s">
        <v>2127</v>
      </c>
      <c r="G9" s="87" t="s">
        <v>2128</v>
      </c>
      <c r="H9" s="82"/>
    </row>
    <row r="10" spans="2:9" x14ac:dyDescent="0.25">
      <c r="B10" s="92" t="s">
        <v>2129</v>
      </c>
      <c r="C10" s="98" t="s">
        <v>2130</v>
      </c>
      <c r="D10" s="82"/>
      <c r="F10" s="80"/>
      <c r="G10" s="88"/>
      <c r="H10" s="82"/>
    </row>
    <row r="11" spans="2:9" x14ac:dyDescent="0.25">
      <c r="B11" s="80"/>
      <c r="C11" s="81"/>
      <c r="D11" s="82"/>
      <c r="F11" s="89"/>
      <c r="G11" s="90"/>
      <c r="H11" s="91"/>
    </row>
    <row r="12" spans="2:9" x14ac:dyDescent="0.25">
      <c r="B12" s="92" t="s">
        <v>2183</v>
      </c>
      <c r="C12" s="98" t="s">
        <v>1151</v>
      </c>
      <c r="D12" s="82"/>
    </row>
    <row r="13" spans="2:9" ht="9" customHeight="1" x14ac:dyDescent="0.25">
      <c r="B13" s="89"/>
      <c r="C13" s="90"/>
      <c r="D13" s="91"/>
    </row>
    <row r="14" spans="2:9" ht="9" customHeight="1" x14ac:dyDescent="0.25"/>
    <row r="15" spans="2:9" ht="9" customHeight="1" x14ac:dyDescent="0.25">
      <c r="B15" s="93"/>
      <c r="C15" s="94"/>
      <c r="D15" s="95"/>
      <c r="F15" s="99" t="s">
        <v>2131</v>
      </c>
      <c r="G15" s="99">
        <f>IF(ISERROR(MATCH(C4,lang_list,0)),1,MATCH(C4,lang_list,0))</f>
        <v>20</v>
      </c>
      <c r="H15" s="99"/>
      <c r="I15" s="99" t="str">
        <f>IFERROR(VLOOKUP(C12,T,lang,FALSE),"")</f>
        <v>Argentína</v>
      </c>
    </row>
    <row r="16" spans="2:9" ht="16.5" thickBot="1" x14ac:dyDescent="0.3">
      <c r="B16" s="80"/>
      <c r="C16" s="96" t="s">
        <v>2128</v>
      </c>
      <c r="D16" s="82"/>
      <c r="F16" s="99" t="s">
        <v>2132</v>
      </c>
      <c r="G16" s="99">
        <f>TIME(VLOOKUP(C8,F18:G41,2,FALSE),VLOOKUP(C10,F43:G46,2,FALSE),0)+IF(C6="Yes",TIME(1,0,0),0)</f>
        <v>0.45833333333333331</v>
      </c>
      <c r="H16" s="99"/>
      <c r="I16" s="99"/>
    </row>
    <row r="17" spans="2:9" x14ac:dyDescent="0.25">
      <c r="B17" s="97" t="str">
        <f>VLOOKUP("Germany",T,lang,FALSE)</f>
        <v>Németország</v>
      </c>
      <c r="C17" s="106">
        <v>1602</v>
      </c>
      <c r="D17" s="82"/>
      <c r="F17" s="99"/>
      <c r="G17" s="99"/>
      <c r="H17" s="99"/>
      <c r="I17" s="99" t="s">
        <v>1151</v>
      </c>
    </row>
    <row r="18" spans="2:9" x14ac:dyDescent="0.25">
      <c r="B18" s="97" t="str">
        <f>VLOOKUP("Brazil",T,lang,FALSE)</f>
        <v>Brazília</v>
      </c>
      <c r="C18" s="107">
        <v>1483</v>
      </c>
      <c r="D18" s="82"/>
      <c r="F18" s="99" t="s">
        <v>2133</v>
      </c>
      <c r="G18" s="99">
        <v>0</v>
      </c>
      <c r="H18" s="99"/>
      <c r="I18" s="99" t="s">
        <v>1328</v>
      </c>
    </row>
    <row r="19" spans="2:9" x14ac:dyDescent="0.25">
      <c r="B19" s="97" t="str">
        <f>VLOOKUP("Portugal",T,lang,FALSE)</f>
        <v>Portugália</v>
      </c>
      <c r="C19" s="107">
        <v>1358</v>
      </c>
      <c r="D19" s="82"/>
      <c r="F19" s="99" t="s">
        <v>2134</v>
      </c>
      <c r="G19" s="99">
        <v>1</v>
      </c>
      <c r="H19" s="99"/>
      <c r="I19" s="99" t="s">
        <v>1484</v>
      </c>
    </row>
    <row r="20" spans="2:9" x14ac:dyDescent="0.25">
      <c r="B20" s="97" t="str">
        <f>VLOOKUP("Argentina",T,lang,FALSE)</f>
        <v>Argentína</v>
      </c>
      <c r="C20" s="107">
        <v>1348</v>
      </c>
      <c r="D20" s="82"/>
      <c r="F20" s="99" t="s">
        <v>2135</v>
      </c>
      <c r="G20" s="99">
        <v>2</v>
      </c>
      <c r="H20" s="99"/>
      <c r="I20" s="99" t="s">
        <v>1454</v>
      </c>
    </row>
    <row r="21" spans="2:9" x14ac:dyDescent="0.25">
      <c r="B21" s="97" t="str">
        <f>VLOOKUP("Belgium",T,lang,FALSE)</f>
        <v>Belgium</v>
      </c>
      <c r="C21" s="107">
        <v>1325</v>
      </c>
      <c r="D21" s="82"/>
      <c r="F21" s="99" t="s">
        <v>2136</v>
      </c>
      <c r="G21" s="99">
        <v>3</v>
      </c>
      <c r="H21" s="99"/>
      <c r="I21" s="99" t="s">
        <v>1358</v>
      </c>
    </row>
    <row r="22" spans="2:9" x14ac:dyDescent="0.25">
      <c r="B22" s="97" t="str">
        <f>VLOOKUP("Spain",T,lang,FALSE)</f>
        <v>Spanyolország</v>
      </c>
      <c r="C22" s="107">
        <v>1231</v>
      </c>
      <c r="D22" s="82"/>
      <c r="F22" s="99" t="s">
        <v>2137</v>
      </c>
      <c r="G22" s="99">
        <v>4</v>
      </c>
      <c r="H22" s="99"/>
      <c r="I22" s="99" t="s">
        <v>1384</v>
      </c>
    </row>
    <row r="23" spans="2:9" x14ac:dyDescent="0.25">
      <c r="B23" s="97" t="str">
        <f>VLOOKUP("Poland",T,lang,FALSE)</f>
        <v>Lengyelország</v>
      </c>
      <c r="C23" s="107">
        <v>1209</v>
      </c>
      <c r="D23" s="82"/>
      <c r="F23" s="99" t="s">
        <v>2138</v>
      </c>
      <c r="G23" s="99">
        <v>5</v>
      </c>
      <c r="H23" s="99"/>
      <c r="I23" s="99" t="s">
        <v>1039</v>
      </c>
    </row>
    <row r="24" spans="2:9" x14ac:dyDescent="0.25">
      <c r="B24" s="97" t="str">
        <f>VLOOKUP("Switzerland",T,lang,FALSE)</f>
        <v>Svájc</v>
      </c>
      <c r="C24" s="107">
        <v>1190</v>
      </c>
      <c r="D24" s="82"/>
      <c r="F24" s="99" t="s">
        <v>2139</v>
      </c>
      <c r="G24" s="99">
        <v>6</v>
      </c>
      <c r="H24" s="99"/>
      <c r="I24" s="99" t="s">
        <v>2164</v>
      </c>
    </row>
    <row r="25" spans="2:9" x14ac:dyDescent="0.25">
      <c r="B25" s="97" t="str">
        <f>VLOOKUP("France",T,lang,FALSE)</f>
        <v>Franciaország</v>
      </c>
      <c r="C25" s="107">
        <v>1183</v>
      </c>
      <c r="D25" s="82"/>
      <c r="F25" s="99" t="s">
        <v>2140</v>
      </c>
      <c r="G25" s="99">
        <v>7</v>
      </c>
      <c r="H25" s="99"/>
      <c r="I25" s="99" t="s">
        <v>2161</v>
      </c>
    </row>
    <row r="26" spans="2:9" x14ac:dyDescent="0.25">
      <c r="B26" s="97" t="str">
        <f>VLOOKUP("Peru",T,lang,FALSE)</f>
        <v>Peru</v>
      </c>
      <c r="C26" s="107">
        <v>1128</v>
      </c>
      <c r="D26" s="82"/>
      <c r="F26" s="99" t="s">
        <v>2141</v>
      </c>
      <c r="G26" s="99">
        <v>8</v>
      </c>
      <c r="H26" s="99"/>
      <c r="I26" s="99" t="s">
        <v>1231</v>
      </c>
    </row>
    <row r="27" spans="2:9" x14ac:dyDescent="0.25">
      <c r="B27" s="97" t="str">
        <f>VLOOKUP("Denmark",T,lang,FALSE)</f>
        <v>Dánia</v>
      </c>
      <c r="C27" s="107">
        <v>1099</v>
      </c>
      <c r="D27" s="82"/>
      <c r="F27" s="99" t="s">
        <v>2142</v>
      </c>
      <c r="G27" s="99">
        <v>9</v>
      </c>
      <c r="H27" s="99"/>
      <c r="I27" s="99" t="s">
        <v>1120</v>
      </c>
    </row>
    <row r="28" spans="2:9" x14ac:dyDescent="0.25">
      <c r="B28" s="97" t="str">
        <f>VLOOKUP("Colombia",T,lang,FALSE)</f>
        <v>Colombia</v>
      </c>
      <c r="C28" s="107">
        <v>1078</v>
      </c>
      <c r="D28" s="82"/>
      <c r="F28" s="99" t="s">
        <v>2143</v>
      </c>
      <c r="G28" s="99">
        <v>10</v>
      </c>
      <c r="H28" s="99"/>
      <c r="I28" s="99" t="s">
        <v>1293</v>
      </c>
    </row>
    <row r="29" spans="2:9" x14ac:dyDescent="0.25">
      <c r="B29" s="97" t="str">
        <f>VLOOKUP("England",T,lang,FALSE)</f>
        <v>Anglia</v>
      </c>
      <c r="C29" s="107">
        <v>1047</v>
      </c>
      <c r="D29" s="82"/>
      <c r="F29" s="99" t="s">
        <v>2124</v>
      </c>
      <c r="G29" s="99">
        <v>11</v>
      </c>
      <c r="H29" s="99"/>
      <c r="I29" s="99" t="s">
        <v>2165</v>
      </c>
    </row>
    <row r="30" spans="2:9" x14ac:dyDescent="0.25">
      <c r="B30" s="97" t="str">
        <f>VLOOKUP("Mexico",T,lang,FALSE)</f>
        <v>Mexikó</v>
      </c>
      <c r="C30" s="107">
        <v>1032</v>
      </c>
      <c r="D30" s="82"/>
      <c r="F30" s="99" t="s">
        <v>2144</v>
      </c>
      <c r="G30" s="99">
        <v>12</v>
      </c>
      <c r="H30" s="99"/>
      <c r="I30" s="99" t="s">
        <v>1435</v>
      </c>
    </row>
    <row r="31" spans="2:9" x14ac:dyDescent="0.25">
      <c r="B31" s="97" t="str">
        <f>VLOOKUP("Croatia",T,lang,FALSE)</f>
        <v>Horvátország</v>
      </c>
      <c r="C31" s="107">
        <v>1018</v>
      </c>
      <c r="D31" s="82"/>
      <c r="F31" s="99" t="s">
        <v>2145</v>
      </c>
      <c r="G31" s="99">
        <v>13</v>
      </c>
      <c r="H31" s="99"/>
      <c r="I31" s="99" t="s">
        <v>1406</v>
      </c>
    </row>
    <row r="32" spans="2:9" x14ac:dyDescent="0.25">
      <c r="B32" s="97" t="str">
        <f>VLOOKUP("Sweden",T,lang,FALSE)</f>
        <v>Svédország</v>
      </c>
      <c r="C32" s="107">
        <v>998</v>
      </c>
      <c r="D32" s="82"/>
      <c r="F32" s="99" t="s">
        <v>2146</v>
      </c>
      <c r="G32" s="99">
        <v>14</v>
      </c>
      <c r="H32" s="99"/>
      <c r="I32" s="99" t="s">
        <v>1195</v>
      </c>
    </row>
    <row r="33" spans="2:9" x14ac:dyDescent="0.25">
      <c r="B33" s="97" t="str">
        <f>VLOOKUP("Uruguay",T,lang,FALSE)</f>
        <v>Uruguay</v>
      </c>
      <c r="C33" s="107">
        <v>924</v>
      </c>
      <c r="D33" s="82"/>
      <c r="F33" s="99" t="s">
        <v>2147</v>
      </c>
      <c r="G33" s="99">
        <v>15</v>
      </c>
      <c r="H33" s="99"/>
      <c r="I33" s="99" t="s">
        <v>1075</v>
      </c>
    </row>
    <row r="34" spans="2:9" x14ac:dyDescent="0.25">
      <c r="B34" s="97" t="str">
        <f>VLOOKUP("Iceland",T,lang,FALSE)</f>
        <v>Izland</v>
      </c>
      <c r="C34" s="107">
        <v>910</v>
      </c>
      <c r="D34" s="82"/>
      <c r="F34" s="99" t="s">
        <v>2148</v>
      </c>
      <c r="G34" s="99">
        <v>16</v>
      </c>
      <c r="H34" s="99"/>
      <c r="I34" s="99" t="s">
        <v>2162</v>
      </c>
    </row>
    <row r="35" spans="2:9" x14ac:dyDescent="0.25">
      <c r="B35" s="97" t="str">
        <f>VLOOKUP("Senegal",T,lang,FALSE)</f>
        <v>Szenegál</v>
      </c>
      <c r="C35" s="107"/>
      <c r="D35" s="82"/>
      <c r="F35" s="99" t="s">
        <v>2149</v>
      </c>
      <c r="G35" s="99">
        <v>17</v>
      </c>
      <c r="H35" s="99"/>
      <c r="I35" s="99" t="s">
        <v>1172</v>
      </c>
    </row>
    <row r="36" spans="2:9" x14ac:dyDescent="0.25">
      <c r="B36" s="97" t="str">
        <f>VLOOKUP("Costa Rica",T,lang,FALSE)</f>
        <v>Costa Rica</v>
      </c>
      <c r="C36" s="107">
        <v>850</v>
      </c>
      <c r="D36" s="82"/>
      <c r="F36" s="99" t="s">
        <v>2150</v>
      </c>
      <c r="G36" s="99">
        <v>18</v>
      </c>
      <c r="H36" s="99"/>
      <c r="I36" s="99" t="s">
        <v>2168</v>
      </c>
    </row>
    <row r="37" spans="2:9" x14ac:dyDescent="0.25">
      <c r="B37" s="97" t="str">
        <f>VLOOKUP("Tunisia",T,lang,FALSE)</f>
        <v>Tunézia</v>
      </c>
      <c r="C37" s="107">
        <v>838</v>
      </c>
      <c r="D37" s="82"/>
      <c r="F37" s="99" t="s">
        <v>2151</v>
      </c>
      <c r="G37" s="99">
        <v>19</v>
      </c>
      <c r="H37" s="99"/>
      <c r="I37" s="99" t="s">
        <v>2163</v>
      </c>
    </row>
    <row r="38" spans="2:9" x14ac:dyDescent="0.25">
      <c r="B38" s="97" t="str">
        <f>VLOOKUP("Egypt",T,lang,FALSE)</f>
        <v>Egyiptom</v>
      </c>
      <c r="C38" s="107">
        <v>805</v>
      </c>
      <c r="D38" s="82"/>
      <c r="F38" s="99" t="s">
        <v>2152</v>
      </c>
      <c r="G38" s="99">
        <v>20</v>
      </c>
      <c r="H38" s="99"/>
      <c r="I38" s="99" t="s">
        <v>2170</v>
      </c>
    </row>
    <row r="39" spans="2:9" x14ac:dyDescent="0.25">
      <c r="B39" s="97" t="str">
        <f>VLOOKUP("Iran",T,lang,FALSE)</f>
        <v>Irán</v>
      </c>
      <c r="C39" s="107">
        <v>798</v>
      </c>
      <c r="D39" s="82"/>
      <c r="F39" s="99" t="s">
        <v>2153</v>
      </c>
      <c r="G39" s="99">
        <v>21</v>
      </c>
      <c r="H39" s="99"/>
      <c r="I39" s="99" t="s">
        <v>1513</v>
      </c>
    </row>
    <row r="40" spans="2:9" x14ac:dyDescent="0.25">
      <c r="B40" s="97" t="str">
        <f>VLOOKUP("Serbia",T,lang,FALSE)</f>
        <v>Szerbia</v>
      </c>
      <c r="C40" s="107">
        <v>756</v>
      </c>
      <c r="D40" s="82"/>
      <c r="F40" s="99" t="s">
        <v>2154</v>
      </c>
      <c r="G40" s="99">
        <v>22</v>
      </c>
      <c r="H40" s="99"/>
      <c r="I40" s="99" t="s">
        <v>1262</v>
      </c>
    </row>
    <row r="41" spans="2:9" x14ac:dyDescent="0.25">
      <c r="B41" s="97" t="str">
        <f>VLOOKUP("Australia",T,lang,FALSE)</f>
        <v>Ausztrália</v>
      </c>
      <c r="C41" s="107">
        <v>747</v>
      </c>
      <c r="D41" s="82"/>
      <c r="F41" s="99" t="s">
        <v>2155</v>
      </c>
      <c r="G41" s="99">
        <v>23</v>
      </c>
      <c r="H41" s="99"/>
      <c r="I41" s="99" t="s">
        <v>2160</v>
      </c>
    </row>
    <row r="42" spans="2:9" x14ac:dyDescent="0.25">
      <c r="B42" s="97" t="str">
        <f>VLOOKUP("Morocco",T,lang,FALSE)</f>
        <v>Marokkó</v>
      </c>
      <c r="C42" s="107">
        <v>738</v>
      </c>
      <c r="D42" s="82"/>
      <c r="F42" s="99"/>
      <c r="G42" s="99"/>
      <c r="H42" s="99"/>
      <c r="I42" s="99" t="s">
        <v>2171</v>
      </c>
    </row>
    <row r="43" spans="2:9" x14ac:dyDescent="0.25">
      <c r="B43" s="97" t="str">
        <f>VLOOKUP("Nigeria",T,lang,FALSE)</f>
        <v>Nigéria</v>
      </c>
      <c r="C43" s="107">
        <v>640</v>
      </c>
      <c r="D43" s="82"/>
      <c r="F43" s="99" t="s">
        <v>2130</v>
      </c>
      <c r="G43" s="99">
        <v>0</v>
      </c>
      <c r="H43" s="99"/>
      <c r="I43" s="99" t="s">
        <v>2166</v>
      </c>
    </row>
    <row r="44" spans="2:9" x14ac:dyDescent="0.25">
      <c r="B44" s="97" t="str">
        <f>VLOOKUP("Panama",T,lang,FALSE)</f>
        <v>Panama</v>
      </c>
      <c r="C44" s="107">
        <v>621</v>
      </c>
      <c r="D44" s="82"/>
      <c r="F44" s="99" t="s">
        <v>2156</v>
      </c>
      <c r="G44" s="99">
        <v>15</v>
      </c>
      <c r="H44" s="99"/>
      <c r="I44" s="99" t="s">
        <v>1538</v>
      </c>
    </row>
    <row r="45" spans="2:9" x14ac:dyDescent="0.25">
      <c r="B45" s="97" t="str">
        <f>VLOOKUP("Japan",T,lang,FALSE)</f>
        <v>Japán</v>
      </c>
      <c r="C45" s="107">
        <v>600</v>
      </c>
      <c r="D45" s="82"/>
      <c r="F45" s="99" t="s">
        <v>2157</v>
      </c>
      <c r="G45" s="99">
        <v>30</v>
      </c>
      <c r="H45" s="99"/>
      <c r="I45" s="99" t="s">
        <v>2167</v>
      </c>
    </row>
    <row r="46" spans="2:9" x14ac:dyDescent="0.25">
      <c r="B46" s="97" t="str">
        <f>VLOOKUP("Korea Republic",T,lang,FALSE)</f>
        <v>Dél-Korea</v>
      </c>
      <c r="C46" s="107">
        <v>570</v>
      </c>
      <c r="D46" s="82"/>
      <c r="F46" s="99" t="s">
        <v>2158</v>
      </c>
      <c r="G46" s="99">
        <v>45</v>
      </c>
      <c r="H46" s="99"/>
      <c r="I46" s="99" t="s">
        <v>1574</v>
      </c>
    </row>
    <row r="47" spans="2:9" x14ac:dyDescent="0.25">
      <c r="B47" s="97" t="str">
        <f>VLOOKUP("Saudi Arabia",T,lang,FALSE)</f>
        <v>Szaud-Arábia</v>
      </c>
      <c r="C47" s="107">
        <v>543</v>
      </c>
      <c r="D47" s="82"/>
      <c r="F47" s="99"/>
      <c r="G47" s="99"/>
      <c r="H47" s="99"/>
      <c r="I47" s="99" t="s">
        <v>2169</v>
      </c>
    </row>
    <row r="48" spans="2:9" x14ac:dyDescent="0.25">
      <c r="B48" s="97" t="str">
        <f>VLOOKUP("Russia",T,lang,FALSE)</f>
        <v>Oroszország</v>
      </c>
      <c r="C48" s="108">
        <v>534</v>
      </c>
      <c r="D48" s="82"/>
      <c r="F48" s="99" t="s">
        <v>2159</v>
      </c>
      <c r="G48" s="99">
        <f>IF(G4="Type 2",0,1)</f>
        <v>1</v>
      </c>
      <c r="H48" s="99"/>
      <c r="I48" s="99" t="s">
        <v>1100</v>
      </c>
    </row>
    <row r="49" spans="2:4" x14ac:dyDescent="0.25">
      <c r="B49" s="89"/>
      <c r="C49" s="90"/>
      <c r="D49" s="91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topLeftCell="B4" zoomScaleNormal="100" workbookViewId="0">
      <selection activeCell="BM16" sqref="BM16"/>
    </sheetView>
  </sheetViews>
  <sheetFormatPr defaultColWidth="9.140625"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5" hidden="1" customWidth="1"/>
    <col min="19" max="20" width="16" style="62" hidden="1" customWidth="1"/>
    <col min="21" max="21" width="5" style="56" hidden="1" customWidth="1"/>
    <col min="22" max="25" width="6.140625" style="55" hidden="1" customWidth="1"/>
    <col min="26" max="26" width="4.28515625" style="56" hidden="1" customWidth="1"/>
    <col min="27" max="27" width="5.42578125" style="55" hidden="1" customWidth="1"/>
    <col min="28" max="28" width="13.42578125" style="56" hidden="1" customWidth="1"/>
    <col min="29" max="33" width="5.42578125" style="55" hidden="1" customWidth="1"/>
    <col min="34" max="36" width="6" style="55" hidden="1" customWidth="1"/>
    <col min="37" max="37" width="5.42578125" style="55" hidden="1" customWidth="1"/>
    <col min="38" max="38" width="6" style="55" hidden="1" customWidth="1"/>
    <col min="39" max="39" width="7.140625" style="56" hidden="1" customWidth="1"/>
    <col min="40" max="40" width="10" style="56" hidden="1" customWidth="1"/>
    <col min="41" max="41" width="15.28515625" style="57" hidden="1" customWidth="1"/>
    <col min="42" max="42" width="4.7109375" style="58" hidden="1" customWidth="1"/>
    <col min="43" max="46" width="4.7109375" style="59" hidden="1" customWidth="1"/>
    <col min="47" max="49" width="9.140625" style="60" hidden="1" customWidth="1"/>
    <col min="50" max="50" width="9.140625" style="6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36" t="str">
        <f>INDEX(T,2,lang)</f>
        <v>2018 Labdarúgó-világbajnokság döntő sorozata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S1" s="55"/>
      <c r="T1" s="55"/>
      <c r="U1" s="55"/>
      <c r="Z1" s="55"/>
      <c r="AB1" s="55"/>
      <c r="AD1" s="56"/>
      <c r="AE1" s="56"/>
      <c r="AF1" s="57"/>
      <c r="AG1" s="58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72" ht="3" customHeight="1" x14ac:dyDescent="0.25">
      <c r="S2" s="55"/>
      <c r="T2" s="55"/>
      <c r="U2" s="55"/>
      <c r="Z2" s="55"/>
      <c r="AB2" s="55"/>
      <c r="AD2" s="56"/>
      <c r="AE2" s="56"/>
      <c r="AF2" s="57"/>
      <c r="AG2" s="58"/>
      <c r="AH2" s="59"/>
      <c r="AI2" s="59"/>
      <c r="AJ2" s="59"/>
      <c r="AK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7" t="str">
        <f>"Language: " &amp; Settings!C4</f>
        <v>Language: Hungarian</v>
      </c>
      <c r="P3" s="137"/>
      <c r="S3" s="55"/>
      <c r="T3" s="55"/>
      <c r="U3" s="55"/>
      <c r="Z3" s="55"/>
      <c r="AB3" s="55"/>
      <c r="AD3" s="56"/>
      <c r="AE3" s="56"/>
      <c r="AF3" s="57"/>
      <c r="AG3" s="58"/>
      <c r="AH3" s="59"/>
      <c r="AI3" s="59"/>
      <c r="AJ3" s="59"/>
      <c r="AK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72" ht="3" customHeight="1" x14ac:dyDescent="0.25"/>
    <row r="5" spans="1:72" ht="15" customHeight="1" x14ac:dyDescent="0.25">
      <c r="A5" s="138" t="str">
        <f>INDEX(T,3,lang)</f>
        <v>Csoportkörök</v>
      </c>
      <c r="B5" s="139"/>
      <c r="C5" s="139"/>
      <c r="D5" s="139"/>
      <c r="E5" s="139"/>
      <c r="F5" s="139"/>
      <c r="G5" s="139"/>
      <c r="H5" s="140"/>
      <c r="J5" s="144" t="s">
        <v>2173</v>
      </c>
      <c r="K5" s="145"/>
      <c r="L5" s="145"/>
      <c r="M5" s="145"/>
      <c r="N5" s="145"/>
      <c r="O5" s="145"/>
      <c r="P5" s="146"/>
    </row>
    <row r="6" spans="1:72" ht="15" customHeight="1" x14ac:dyDescent="0.25">
      <c r="A6" s="141"/>
      <c r="B6" s="142"/>
      <c r="C6" s="142"/>
      <c r="D6" s="142"/>
      <c r="E6" s="142"/>
      <c r="F6" s="142"/>
      <c r="G6" s="142"/>
      <c r="H6" s="143"/>
      <c r="J6" s="147"/>
      <c r="K6" s="148"/>
      <c r="L6" s="148"/>
      <c r="M6" s="148"/>
      <c r="N6" s="148"/>
      <c r="O6" s="148"/>
      <c r="P6" s="149"/>
      <c r="R6" s="55" t="s">
        <v>2174</v>
      </c>
      <c r="V6" s="55" t="s">
        <v>2175</v>
      </c>
      <c r="W6" s="55" t="s">
        <v>2176</v>
      </c>
      <c r="AA6" s="55" t="s">
        <v>2177</v>
      </c>
      <c r="AB6" s="55" t="s">
        <v>1004</v>
      </c>
      <c r="AC6" s="55" t="s">
        <v>337</v>
      </c>
      <c r="AD6" s="55" t="s">
        <v>374</v>
      </c>
      <c r="AE6" s="55" t="s">
        <v>307</v>
      </c>
      <c r="AF6" s="55" t="s">
        <v>2175</v>
      </c>
      <c r="AG6" s="55" t="s">
        <v>2176</v>
      </c>
      <c r="AH6" s="55" t="s">
        <v>2178</v>
      </c>
      <c r="AI6" s="55" t="s">
        <v>2178</v>
      </c>
      <c r="AK6" s="55" t="s">
        <v>2179</v>
      </c>
      <c r="AL6" s="55" t="s">
        <v>353</v>
      </c>
      <c r="AM6" s="55" t="s">
        <v>2180</v>
      </c>
      <c r="AN6" s="55" t="s">
        <v>2172</v>
      </c>
      <c r="AP6" s="58" t="s">
        <v>337</v>
      </c>
      <c r="AQ6" s="59" t="s">
        <v>374</v>
      </c>
      <c r="AR6" s="59" t="s">
        <v>2175</v>
      </c>
      <c r="AS6" s="59" t="s">
        <v>2176</v>
      </c>
      <c r="AT6" s="59" t="s">
        <v>2181</v>
      </c>
      <c r="AY6" s="130" t="str">
        <f>INDEX(T,4,lang)</f>
        <v>Nyolcaddöntők</v>
      </c>
      <c r="AZ6" s="131"/>
      <c r="BA6" s="131"/>
      <c r="BB6" s="132"/>
      <c r="BE6" s="130" t="str">
        <f>INDEX(T,5,lang)</f>
        <v>Negyeddöntők</v>
      </c>
      <c r="BF6" s="131"/>
      <c r="BG6" s="131"/>
      <c r="BH6" s="132"/>
      <c r="BK6" s="130" t="str">
        <f>INDEX(T,6,lang)</f>
        <v>Elődöntők</v>
      </c>
      <c r="BL6" s="131"/>
      <c r="BM6" s="131"/>
      <c r="BN6" s="132"/>
      <c r="BQ6" s="130" t="str">
        <f>INDEX(T,8,lang)</f>
        <v>Döntő</v>
      </c>
      <c r="BR6" s="131"/>
      <c r="BS6" s="131"/>
      <c r="BT6" s="132"/>
    </row>
    <row r="7" spans="1:72" ht="15" customHeight="1" x14ac:dyDescent="0.25">
      <c r="A7" s="12">
        <v>1</v>
      </c>
      <c r="B7" s="13" t="str">
        <f t="shared" ref="B7:B54" si="0">INDEX(T,18+INT(MOD(R7-1,7)),lang)</f>
        <v>Csü</v>
      </c>
      <c r="C7" s="14" t="str">
        <f t="shared" ref="C7:C54" si="1">INDEX(T,24+MONTH(R7),lang) &amp; " " &amp; DAY(R7) &amp; ", " &amp; YEAR(R7)</f>
        <v>Jún 14, 2018</v>
      </c>
      <c r="D7" s="15">
        <f>TIME(HOUR(R7),MINUTE(R7),0)</f>
        <v>0.625</v>
      </c>
      <c r="E7" s="100" t="str">
        <f>AB8</f>
        <v>Oroszország</v>
      </c>
      <c r="F7" s="16">
        <v>5</v>
      </c>
      <c r="G7" s="17">
        <v>0</v>
      </c>
      <c r="H7" s="103" t="str">
        <f>AB9</f>
        <v>Szaud-Arábia</v>
      </c>
      <c r="R7" s="55">
        <f>DATE(2018,6,14)+TIME(4,0,0)+gmt_delta</f>
        <v>43265.625</v>
      </c>
      <c r="S7" s="62" t="str">
        <f t="shared" ref="S7:S54" si="2">IF(OR(F7="",G7=""),"",IF(F7&gt;G7,E7&amp;"_win",IF(F7&lt;G7,E7&amp;"_lose",E7&amp;"_draw")))</f>
        <v>Oroszország_win</v>
      </c>
      <c r="T7" s="62" t="str">
        <f t="shared" ref="T7:T54" si="3">IF(S7="","",IF(F7&lt;G7,H7&amp;"_win",IF(F7&gt;G7,H7&amp;"_lose",H7&amp;"_draw")))</f>
        <v>Szaud-Arábia_lose</v>
      </c>
      <c r="U7" s="56">
        <f t="shared" ref="U7:U54" si="4">IF(S7="",0,IF(VLOOKUP(E7,$AB$8:$AK$53,7,FALSE)=VLOOKUP(H7,$AB$8:$AK$53,7,FALSE),1,0))</f>
        <v>0</v>
      </c>
      <c r="V7" s="55">
        <f t="shared" ref="V7:V54" si="5">U7*F7</f>
        <v>0</v>
      </c>
      <c r="W7" s="55">
        <f t="shared" ref="W7:W54" si="6">U7*G7</f>
        <v>0</v>
      </c>
      <c r="X7" s="55">
        <f t="shared" ref="X7:X54" si="7">IF(OR(E7=my_team,H7=my_team),1,0)</f>
        <v>0</v>
      </c>
      <c r="Y7" s="55">
        <f>IF(OR(F7="",G7=""),"",IF(F7&gt;G7,1,IF(F7&lt;G7,-1,0)))</f>
        <v>1</v>
      </c>
      <c r="AY7" s="133"/>
      <c r="AZ7" s="134"/>
      <c r="BA7" s="134"/>
      <c r="BB7" s="135"/>
      <c r="BE7" s="133"/>
      <c r="BF7" s="134"/>
      <c r="BG7" s="134"/>
      <c r="BH7" s="135"/>
      <c r="BK7" s="133"/>
      <c r="BL7" s="134"/>
      <c r="BM7" s="134"/>
      <c r="BN7" s="135"/>
      <c r="BQ7" s="133"/>
      <c r="BR7" s="134"/>
      <c r="BS7" s="134"/>
      <c r="BT7" s="135"/>
    </row>
    <row r="8" spans="1:72" ht="15" customHeight="1" x14ac:dyDescent="0.25">
      <c r="A8" s="18">
        <v>2</v>
      </c>
      <c r="B8" s="19" t="str">
        <f t="shared" si="0"/>
        <v>Pé</v>
      </c>
      <c r="C8" s="20" t="str">
        <f t="shared" si="1"/>
        <v>Jún 15, 2018</v>
      </c>
      <c r="D8" s="21">
        <f t="shared" ref="D8:D54" si="8">TIME(HOUR(R8),MINUTE(R8),0)</f>
        <v>0.5</v>
      </c>
      <c r="E8" s="101" t="str">
        <f>AB10</f>
        <v>Egyiptom</v>
      </c>
      <c r="F8" s="22">
        <v>0</v>
      </c>
      <c r="G8" s="23">
        <v>1</v>
      </c>
      <c r="H8" s="104" t="str">
        <f>AB11</f>
        <v>Uruguay</v>
      </c>
      <c r="J8" s="71" t="str">
        <f>INDEX(T,9,lang) &amp; " " &amp; "A"</f>
        <v>Csoport A</v>
      </c>
      <c r="K8" s="72" t="str">
        <f>INDEX(T,10,lang)</f>
        <v>M</v>
      </c>
      <c r="L8" s="72" t="str">
        <f>INDEX(T,11,lang)</f>
        <v>GY</v>
      </c>
      <c r="M8" s="72" t="str">
        <f>INDEX(T,12,lang)</f>
        <v>D</v>
      </c>
      <c r="N8" s="72" t="str">
        <f>INDEX(T,13,lang)</f>
        <v>V</v>
      </c>
      <c r="O8" s="72" t="str">
        <f>INDEX(T,14,lang)</f>
        <v>Gólkül.</v>
      </c>
      <c r="P8" s="73" t="str">
        <f>INDEX(T,15,lang)</f>
        <v>PNT</v>
      </c>
      <c r="R8" s="55">
        <f>DATE(2018,6,15)+TIME(1,0,0)+gmt_delta</f>
        <v>43266.5</v>
      </c>
      <c r="S8" s="62" t="str">
        <f t="shared" si="2"/>
        <v>Egyiptom_lose</v>
      </c>
      <c r="T8" s="62" t="str">
        <f t="shared" si="3"/>
        <v>Uruguay_win</v>
      </c>
      <c r="U8" s="56">
        <f t="shared" si="4"/>
        <v>0</v>
      </c>
      <c r="V8" s="55">
        <f t="shared" si="5"/>
        <v>0</v>
      </c>
      <c r="W8" s="55">
        <f t="shared" si="6"/>
        <v>0</v>
      </c>
      <c r="X8" s="55">
        <f t="shared" si="7"/>
        <v>0</v>
      </c>
      <c r="Y8" s="55">
        <f t="shared" ref="Y8:Y54" si="9">IF(OR(F8="",G8=""),"",IF(F8&gt;G8,1,IF(F8&lt;G8,-1,0)))</f>
        <v>-1</v>
      </c>
      <c r="AA8" s="55">
        <f>COUNTIF(AN8:AN11,CONCATENATE("&gt;=",AN8))</f>
        <v>2</v>
      </c>
      <c r="AB8" s="56" t="str">
        <f>VLOOKUP("Russia",T,lang,FALSE)</f>
        <v>Oroszország</v>
      </c>
      <c r="AC8" s="55">
        <f>COUNTIF($S$7:$T$54,"=" &amp; AB8 &amp; "_win")</f>
        <v>2</v>
      </c>
      <c r="AD8" s="55">
        <f>COUNTIF($S$7:$T$54,"=" &amp; AB8 &amp; "_draw")</f>
        <v>0</v>
      </c>
      <c r="AE8" s="55">
        <f>COUNTIF($S$7:$T$54,"=" &amp; AB8 &amp; "_lose")</f>
        <v>1</v>
      </c>
      <c r="AF8" s="55">
        <f>SUMIF($E$7:$E$54,$AB8,$F$7:$F$54) + SUMIF($H$7:$H$54,$AB8,$G$7:$G$54)</f>
        <v>8</v>
      </c>
      <c r="AG8" s="55">
        <f>SUMIF($E$7:$E$54,$AB8,$G$7:$G$54) + SUMIF($H$7:$H$54,$AB8,$F$7:$F$54)</f>
        <v>4</v>
      </c>
      <c r="AH8" s="55">
        <f>(AF8-AG8)+1</f>
        <v>5</v>
      </c>
      <c r="AI8" s="55">
        <f>AF8-AG8</f>
        <v>4</v>
      </c>
      <c r="AJ8" s="55">
        <f>(AI8-AI13)/AI12</f>
        <v>0.81818181818181823</v>
      </c>
      <c r="AK8" s="55">
        <f>AC8*3+AD8</f>
        <v>6</v>
      </c>
      <c r="AL8" s="55">
        <f>AP8/AP12*1000+AQ8/AQ12*100+AT8/AT12*10+AR8/AR12</f>
        <v>0</v>
      </c>
      <c r="AM8" s="55">
        <f>VLOOKUP(AB8,db_fifarank,2,FALSE)/2000000</f>
        <v>2.6699999999999998E-4</v>
      </c>
      <c r="AN8" s="56">
        <f>1000*AK8/AK12+100*AJ8+10*AF8/AF12+1*AL8/AL12+AM8</f>
        <v>693.24702024675332</v>
      </c>
      <c r="AO8" s="57" t="str">
        <f>IF(SUM(AC8:AE11)=12,J9,INDEX(T,70,lang))</f>
        <v>Uruguay</v>
      </c>
      <c r="AP8" s="58">
        <f>SUMPRODUCT(($S$7:$S$54=AB8&amp;"_win")*($U$7:$U$54))+SUMPRODUCT(($T$7:$T$54=AB8&amp;"_win")*($U$7:$U$54))</f>
        <v>0</v>
      </c>
      <c r="AQ8" s="59">
        <f>SUMPRODUCT(($S$7:$S$54=AB8&amp;"_draw")*($U$7:$U$54))+SUMPRODUCT(($T$7:$T$54=AB8&amp;"_draw")*($U$7:$U$54))</f>
        <v>0</v>
      </c>
      <c r="AR8" s="59">
        <f>SUMPRODUCT(($E$7:$E$54=AB8)*($U$7:$U$54)*($F$7:$F$54))+SUMPRODUCT(($H$7:$H$54=AB8)*($U$7:$U$54)*($G$7:$G$54))</f>
        <v>0</v>
      </c>
      <c r="AS8" s="59">
        <f>SUMPRODUCT(($E$7:$E$54=AB8)*($U$7:$U$54)*($G$7:$G$54))+SUMPRODUCT(($H$7:$H$54=AB8)*($U$7:$U$54)*($F$7:$F$54))</f>
        <v>0</v>
      </c>
      <c r="AT8" s="5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Pé</v>
      </c>
      <c r="C9" s="20" t="str">
        <f t="shared" si="1"/>
        <v>Jún 15, 2018</v>
      </c>
      <c r="D9" s="21">
        <f t="shared" si="8"/>
        <v>0.75</v>
      </c>
      <c r="E9" s="101" t="str">
        <f>AB14</f>
        <v>Portugália</v>
      </c>
      <c r="F9" s="22">
        <v>3</v>
      </c>
      <c r="G9" s="23">
        <v>3</v>
      </c>
      <c r="H9" s="104" t="str">
        <f>AB15</f>
        <v>Spanyolország</v>
      </c>
      <c r="J9" s="63" t="str">
        <f>VLOOKUP(1,AA8:AK11,2,FALSE)</f>
        <v>Uruguay</v>
      </c>
      <c r="K9" s="64">
        <f>L9+M9+N9</f>
        <v>3</v>
      </c>
      <c r="L9" s="64">
        <f>VLOOKUP(1,AA8:AK11,3,FALSE)</f>
        <v>3</v>
      </c>
      <c r="M9" s="64">
        <f>VLOOKUP(1,AA8:AK11,4,FALSE)</f>
        <v>0</v>
      </c>
      <c r="N9" s="64">
        <f>VLOOKUP(1,AA8:AK11,5,FALSE)</f>
        <v>0</v>
      </c>
      <c r="O9" s="64" t="str">
        <f>VLOOKUP(1,AA8:AK11,6,FALSE) &amp; " - " &amp; VLOOKUP(1,AA8:AK11,7,FALSE)</f>
        <v>5 - 0</v>
      </c>
      <c r="P9" s="65">
        <f>L9*3+M9</f>
        <v>9</v>
      </c>
      <c r="R9" s="55">
        <f>DATE(2018,6,15)+TIME(7,0,0)+gmt_delta</f>
        <v>43266.75</v>
      </c>
      <c r="S9" s="62" t="str">
        <f t="shared" si="2"/>
        <v>Portugália_draw</v>
      </c>
      <c r="T9" s="62" t="str">
        <f t="shared" si="3"/>
        <v>Spanyolország_draw</v>
      </c>
      <c r="U9" s="56">
        <f t="shared" si="4"/>
        <v>0</v>
      </c>
      <c r="V9" s="55">
        <f t="shared" si="5"/>
        <v>0</v>
      </c>
      <c r="W9" s="55">
        <f t="shared" si="6"/>
        <v>0</v>
      </c>
      <c r="X9" s="55">
        <f t="shared" si="7"/>
        <v>0</v>
      </c>
      <c r="Y9" s="55">
        <f t="shared" si="9"/>
        <v>0</v>
      </c>
      <c r="AA9" s="55">
        <f>COUNTIF(AN8:AN11,CONCATENATE("&gt;=",AN9))</f>
        <v>3</v>
      </c>
      <c r="AB9" s="56" t="str">
        <f>VLOOKUP("Saudi Arabia",T,lang,FALSE)</f>
        <v>Szaud-Arábia</v>
      </c>
      <c r="AC9" s="55">
        <f>COUNTIF($S$7:$T$54,"=" &amp; AB9 &amp; "_win")</f>
        <v>1</v>
      </c>
      <c r="AD9" s="55">
        <f>COUNTIF($S$7:$T$54,"=" &amp; AB9 &amp; "_draw")</f>
        <v>0</v>
      </c>
      <c r="AE9" s="55">
        <f>COUNTIF($S$7:$T$54,"=" &amp; AB9 &amp; "_lose")</f>
        <v>2</v>
      </c>
      <c r="AF9" s="55">
        <f>SUMIF($E$7:$E$54,$AB9,$F$7:$F$54) + SUMIF($H$7:$H$54,$AB9,$G$7:$G$54)</f>
        <v>2</v>
      </c>
      <c r="AG9" s="55">
        <f>SUMIF($E$7:$E$54,$AB9,$G$7:$G$54) + SUMIF($H$7:$H$54,$AB9,$F$7:$F$54)</f>
        <v>7</v>
      </c>
      <c r="AH9" s="55">
        <f>(AF9-AG9)+1</f>
        <v>-4</v>
      </c>
      <c r="AI9" s="55">
        <f>AF9-AG9</f>
        <v>-5</v>
      </c>
      <c r="AJ9" s="55">
        <f>(AI9-AI13)/AI12</f>
        <v>0</v>
      </c>
      <c r="AK9" s="55">
        <f>AC9*3+AD9</f>
        <v>3</v>
      </c>
      <c r="AL9" s="55">
        <f>AP9/AP12*1000+AQ9/AQ12*100+AT9/AT12*10+AR9/AR12</f>
        <v>0</v>
      </c>
      <c r="AM9" s="55">
        <f>VLOOKUP(AB9,db_fifarank,2,FALSE)/2000000</f>
        <v>2.7149999999999999E-4</v>
      </c>
      <c r="AN9" s="56">
        <f>1000*AK9/AK12+100*AJ9+10*AF9/AF12+1*AL9/AL12+AM9</f>
        <v>302.85741435714283</v>
      </c>
      <c r="AO9" s="57" t="str">
        <f>IF(SUM(AC8:AE11)=12,J10,INDEX(T,71,lang))</f>
        <v>Oroszország</v>
      </c>
      <c r="AP9" s="58">
        <f>SUMPRODUCT(($S$7:$S$54=AB9&amp;"_win")*($U$7:$U$54))+SUMPRODUCT(($T$7:$T$54=AB9&amp;"_win")*($U$7:$U$54))</f>
        <v>0</v>
      </c>
      <c r="AQ9" s="59">
        <f>SUMPRODUCT(($S$7:$S$54=AB9&amp;"_draw")*($U$7:$U$54))+SUMPRODUCT(($T$7:$T$54=AB9&amp;"_draw")*($U$7:$U$54))</f>
        <v>0</v>
      </c>
      <c r="AR9" s="59">
        <f>SUMPRODUCT(($E$7:$E$54=AB9)*($U$7:$U$54)*($F$7:$F$54))+SUMPRODUCT(($H$7:$H$54=AB9)*($U$7:$U$54)*($G$7:$G$54))</f>
        <v>0</v>
      </c>
      <c r="AS9" s="59">
        <f>SUMPRODUCT(($E$7:$E$54=AB9)*($U$7:$U$54)*($G$7:$G$54))+SUMPRODUCT(($H$7:$H$54=AB9)*($U$7:$U$54)*($F$7:$F$54))</f>
        <v>0</v>
      </c>
      <c r="AT9" s="5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Jún 30, 2018   18:00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Pé</v>
      </c>
      <c r="C10" s="20" t="str">
        <f t="shared" si="1"/>
        <v>Jún 15, 2018</v>
      </c>
      <c r="D10" s="21">
        <f t="shared" si="8"/>
        <v>0.625</v>
      </c>
      <c r="E10" s="101" t="str">
        <f>AB16</f>
        <v>Marokkó</v>
      </c>
      <c r="F10" s="22">
        <v>0</v>
      </c>
      <c r="G10" s="23">
        <v>1</v>
      </c>
      <c r="H10" s="104" t="str">
        <f>AB17</f>
        <v>Irán</v>
      </c>
      <c r="J10" s="66" t="str">
        <f>VLOOKUP(2,AA8:AK11,2,FALSE)</f>
        <v>Oroszország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67">
        <f>L10*3+M10</f>
        <v>6</v>
      </c>
      <c r="R10" s="55">
        <f>DATE(2018,6,15)+TIME(4,0,0)+gmt_delta</f>
        <v>43266.625</v>
      </c>
      <c r="S10" s="62" t="str">
        <f t="shared" si="2"/>
        <v>Marokkó_lose</v>
      </c>
      <c r="T10" s="62" t="str">
        <f t="shared" si="3"/>
        <v>Irán_win</v>
      </c>
      <c r="U10" s="56">
        <f t="shared" si="4"/>
        <v>0</v>
      </c>
      <c r="V10" s="55">
        <f t="shared" si="5"/>
        <v>0</v>
      </c>
      <c r="W10" s="55">
        <f t="shared" si="6"/>
        <v>0</v>
      </c>
      <c r="X10" s="55">
        <f t="shared" si="7"/>
        <v>0</v>
      </c>
      <c r="Y10" s="55">
        <f t="shared" si="9"/>
        <v>-1</v>
      </c>
      <c r="AA10" s="55">
        <f>COUNTIF(AN8:AN11,CONCATENATE("&gt;=",AN10))</f>
        <v>4</v>
      </c>
      <c r="AB10" s="56" t="str">
        <f>VLOOKUP("Egypt",T,lang,FALSE)</f>
        <v>Egyiptom</v>
      </c>
      <c r="AC10" s="55">
        <f>COUNTIF($S$7:$T$54,"=" &amp; AB10 &amp; "_win")</f>
        <v>0</v>
      </c>
      <c r="AD10" s="55">
        <f>COUNTIF($S$7:$T$54,"=" &amp; AB10 &amp; "_draw")</f>
        <v>0</v>
      </c>
      <c r="AE10" s="55">
        <f>COUNTIF($S$7:$T$54,"=" &amp; AB10 &amp; "_lose")</f>
        <v>3</v>
      </c>
      <c r="AF10" s="55">
        <f>SUMIF($E$7:$E$54,$AB10,$F$7:$F$54) + SUMIF($H$7:$H$54,$AB10,$G$7:$G$54)</f>
        <v>2</v>
      </c>
      <c r="AG10" s="55">
        <f>SUMIF($E$7:$E$54,$AB10,$G$7:$G$54) + SUMIF($H$7:$H$54,$AB10,$F$7:$F$54)</f>
        <v>6</v>
      </c>
      <c r="AH10" s="55">
        <f>(AF10-AG10)+1</f>
        <v>-3</v>
      </c>
      <c r="AI10" s="55">
        <f>AF10-AG10</f>
        <v>-4</v>
      </c>
      <c r="AJ10" s="55">
        <f>(AI10-AI13)/AI12</f>
        <v>9.0909090909090912E-2</v>
      </c>
      <c r="AK10" s="55">
        <f>AC10*3+AD10</f>
        <v>0</v>
      </c>
      <c r="AL10" s="55">
        <f>AP10/AP12*1000+AQ10/AQ12*100+AT10/AT12*10+AR10/AR12</f>
        <v>0</v>
      </c>
      <c r="AM10" s="55">
        <f>VLOOKUP(AB10,db_fifarank,2,FALSE)/2000000</f>
        <v>4.0250000000000003E-4</v>
      </c>
      <c r="AN10" s="56">
        <f>1000*AK10/AK12+100*AJ10+10*AF10/AF12+1*AL10/AL12+AM10</f>
        <v>11.948454448051949</v>
      </c>
      <c r="AP10" s="58">
        <f>SUMPRODUCT(($S$7:$S$54=AB10&amp;"_win")*($U$7:$U$54))+SUMPRODUCT(($T$7:$T$54=AB10&amp;"_win")*($U$7:$U$54))</f>
        <v>0</v>
      </c>
      <c r="AQ10" s="59">
        <f>SUMPRODUCT(($S$7:$S$54=AB10&amp;"_draw")*($U$7:$U$54))+SUMPRODUCT(($T$7:$T$54=AB10&amp;"_draw")*($U$7:$U$54))</f>
        <v>0</v>
      </c>
      <c r="AR10" s="59">
        <f>SUMPRODUCT(($E$7:$E$54=AB10)*($U$7:$U$54)*($F$7:$F$54))+SUMPRODUCT(($H$7:$H$54=AB10)*($U$7:$U$54)*($G$7:$G$54))</f>
        <v>0</v>
      </c>
      <c r="AS10" s="59">
        <f>SUMPRODUCT(($E$7:$E$54=AB10)*($U$7:$U$54)*($G$7:$G$54))+SUMPRODUCT(($H$7:$H$54=AB10)*($U$7:$U$54)*($F$7:$F$54))</f>
        <v>0</v>
      </c>
      <c r="AT10" s="59">
        <f>AR10-AS10</f>
        <v>0</v>
      </c>
      <c r="AY10" s="118">
        <v>49</v>
      </c>
      <c r="AZ10" s="27" t="str">
        <f>AO8</f>
        <v>Uruguay</v>
      </c>
      <c r="BA10" s="28">
        <v>2</v>
      </c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Szo</v>
      </c>
      <c r="C11" s="20" t="str">
        <f t="shared" si="1"/>
        <v>Jún 16, 2018</v>
      </c>
      <c r="D11" s="21">
        <f t="shared" si="8"/>
        <v>0.41666666666666669</v>
      </c>
      <c r="E11" s="101" t="str">
        <f>AB20</f>
        <v>Franciaország</v>
      </c>
      <c r="F11" s="22">
        <v>2</v>
      </c>
      <c r="G11" s="23">
        <v>1</v>
      </c>
      <c r="H11" s="104" t="str">
        <f>AB21</f>
        <v>Ausztrália</v>
      </c>
      <c r="J11" s="66" t="str">
        <f>VLOOKUP(3,AA8:AK11,2,FALSE)</f>
        <v>Szaud-Arábia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67">
        <f>L11*3+M11</f>
        <v>3</v>
      </c>
      <c r="R11" s="55">
        <f>DATE(2018,6,15)+TIME(23,0,0)+gmt_delta</f>
        <v>43267.416666666672</v>
      </c>
      <c r="S11" s="62" t="str">
        <f t="shared" si="2"/>
        <v>Franciaország_win</v>
      </c>
      <c r="T11" s="62" t="str">
        <f t="shared" si="3"/>
        <v>Ausztrália_lose</v>
      </c>
      <c r="U11" s="56">
        <f t="shared" si="4"/>
        <v>0</v>
      </c>
      <c r="V11" s="55">
        <f t="shared" si="5"/>
        <v>0</v>
      </c>
      <c r="W11" s="55">
        <f t="shared" si="6"/>
        <v>0</v>
      </c>
      <c r="X11" s="55">
        <f t="shared" si="7"/>
        <v>0</v>
      </c>
      <c r="Y11" s="55">
        <f t="shared" si="9"/>
        <v>1</v>
      </c>
      <c r="AA11" s="55">
        <f>COUNTIF(AN8:AN11,CONCATENATE("&gt;=",AN11))</f>
        <v>1</v>
      </c>
      <c r="AB11" s="56" t="str">
        <f>VLOOKUP("Uruguay",T,lang,FALSE)</f>
        <v>Uruguay</v>
      </c>
      <c r="AC11" s="55">
        <f>COUNTIF($S$7:$T$54,"=" &amp; AB11 &amp; "_win")</f>
        <v>3</v>
      </c>
      <c r="AD11" s="55">
        <f>COUNTIF($S$7:$T$54,"=" &amp; AB11 &amp; "_draw")</f>
        <v>0</v>
      </c>
      <c r="AE11" s="55">
        <f>COUNTIF($S$7:$T$54,"=" &amp; AB11 &amp; "_lose")</f>
        <v>0</v>
      </c>
      <c r="AF11" s="55">
        <f>SUMIF($E$7:$E$54,$AB11,$F$7:$F$54) + SUMIF($H$7:$H$54,$AB11,$G$7:$G$54)</f>
        <v>5</v>
      </c>
      <c r="AG11" s="55">
        <f>SUMIF($E$7:$E$54,$AB11,$G$7:$G$54) + SUMIF($H$7:$H$54,$AB11,$F$7:$F$54)</f>
        <v>0</v>
      </c>
      <c r="AH11" s="55">
        <f>(AF11-AG11)+1</f>
        <v>6</v>
      </c>
      <c r="AI11" s="55">
        <f>AF11-AG11</f>
        <v>5</v>
      </c>
      <c r="AJ11" s="55">
        <f>(AI11-AI13)/AI12</f>
        <v>0.90909090909090906</v>
      </c>
      <c r="AK11" s="55">
        <f>AC11*3+AD11</f>
        <v>9</v>
      </c>
      <c r="AL11" s="55">
        <f>AP11/AP12*1000+AQ11/AQ12*100+AT11/AT12*10+AR11/AR12</f>
        <v>0</v>
      </c>
      <c r="AM11" s="55">
        <f>VLOOKUP(AB11,db_fifarank,2,FALSE)/2000000</f>
        <v>4.6200000000000001E-4</v>
      </c>
      <c r="AN11" s="56">
        <f>1000*AK11/AK12+100*AJ11+10*AF11/AF12+1*AL11/AL12+AM11</f>
        <v>998.05241005194796</v>
      </c>
      <c r="AP11" s="58">
        <f>SUMPRODUCT(($S$7:$S$54=AB11&amp;"_win")*($U$7:$U$54))+SUMPRODUCT(($T$7:$T$54=AB11&amp;"_win")*($U$7:$U$54))</f>
        <v>0</v>
      </c>
      <c r="AQ11" s="59">
        <f>SUMPRODUCT(($S$7:$S$54=AB11&amp;"_draw")*($U$7:$U$54))+SUMPRODUCT(($T$7:$T$54=AB11&amp;"_draw")*($U$7:$U$54))</f>
        <v>0</v>
      </c>
      <c r="AR11" s="59">
        <f>SUMPRODUCT(($E$7:$E$54=AB11)*($U$7:$U$54)*($F$7:$F$54))+SUMPRODUCT(($H$7:$H$54=AB11)*($U$7:$U$54)*($G$7:$G$54))</f>
        <v>0</v>
      </c>
      <c r="AS11" s="59">
        <f>SUMPRODUCT(($E$7:$E$54=AB11)*($U$7:$U$54)*($G$7:$G$54))+SUMPRODUCT(($H$7:$H$54=AB11)*($U$7:$U$54)*($F$7:$F$54))</f>
        <v>0</v>
      </c>
      <c r="AT11" s="59">
        <f>AR11-AS11</f>
        <v>0</v>
      </c>
      <c r="AY11" s="119"/>
      <c r="AZ11" s="30" t="str">
        <f>AO15</f>
        <v>Portugália</v>
      </c>
      <c r="BA11" s="31">
        <v>1</v>
      </c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Júl 6, 2018   14:00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Szo</v>
      </c>
      <c r="C12" s="20" t="str">
        <f t="shared" si="1"/>
        <v>Jún 16, 2018</v>
      </c>
      <c r="D12" s="21">
        <f t="shared" si="8"/>
        <v>0.66666666666666663</v>
      </c>
      <c r="E12" s="101" t="str">
        <f>AB22</f>
        <v>Peru</v>
      </c>
      <c r="F12" s="22">
        <v>0</v>
      </c>
      <c r="G12" s="23">
        <v>1</v>
      </c>
      <c r="H12" s="104" t="str">
        <f>AB23</f>
        <v>Dánia</v>
      </c>
      <c r="J12" s="68" t="str">
        <f>VLOOKUP(4,AA8:AK11,2,FALSE)</f>
        <v>Egyiptom</v>
      </c>
      <c r="K12" s="69">
        <f>L12+M12+N12</f>
        <v>3</v>
      </c>
      <c r="L12" s="69">
        <f>VLOOKUP(4,AA8:AK11,3,FALSE)</f>
        <v>0</v>
      </c>
      <c r="M12" s="69">
        <f>VLOOKUP(4,AA8:AK11,4,FALSE)</f>
        <v>0</v>
      </c>
      <c r="N12" s="69">
        <f>VLOOKUP(4,AA8:AK11,5,FALSE)</f>
        <v>3</v>
      </c>
      <c r="O12" s="69" t="str">
        <f>VLOOKUP(4,AA8:AK11,6,FALSE) &amp; " - " &amp; VLOOKUP(4,AA8:AK11,7,FALSE)</f>
        <v>2 - 6</v>
      </c>
      <c r="P12" s="70">
        <f>L12*3+M12</f>
        <v>0</v>
      </c>
      <c r="R12" s="55">
        <f>DATE(2018,6,16)+TIME(5,0,0)+gmt_delta</f>
        <v>43267.666666666672</v>
      </c>
      <c r="S12" s="62" t="str">
        <f t="shared" si="2"/>
        <v>Peru_lose</v>
      </c>
      <c r="T12" s="62" t="str">
        <f t="shared" si="3"/>
        <v>Dánia_win</v>
      </c>
      <c r="U12" s="56">
        <f t="shared" si="4"/>
        <v>0</v>
      </c>
      <c r="V12" s="55">
        <f t="shared" si="5"/>
        <v>0</v>
      </c>
      <c r="W12" s="55">
        <f t="shared" si="6"/>
        <v>0</v>
      </c>
      <c r="X12" s="55">
        <f t="shared" si="7"/>
        <v>0</v>
      </c>
      <c r="Y12" s="55">
        <f t="shared" si="9"/>
        <v>-1</v>
      </c>
      <c r="AC12" s="55">
        <f t="shared" ref="AC12:AL12" si="10">MAX(AC8:AC11)-MIN(AC8:AC11)+1</f>
        <v>4</v>
      </c>
      <c r="AD12" s="55">
        <f t="shared" si="10"/>
        <v>1</v>
      </c>
      <c r="AE12" s="55">
        <f t="shared" si="10"/>
        <v>4</v>
      </c>
      <c r="AF12" s="55">
        <f t="shared" si="10"/>
        <v>7</v>
      </c>
      <c r="AG12" s="55">
        <f t="shared" si="10"/>
        <v>8</v>
      </c>
      <c r="AH12" s="55">
        <f>MAX(AH8:AH11)-AH13+1</f>
        <v>11</v>
      </c>
      <c r="AI12" s="55">
        <f>MAX(AI8:AI11)-AI13+1</f>
        <v>11</v>
      </c>
      <c r="AK12" s="55">
        <f t="shared" si="10"/>
        <v>10</v>
      </c>
      <c r="AL12" s="55">
        <f t="shared" si="10"/>
        <v>1</v>
      </c>
      <c r="AP12" s="55">
        <f>MAX(AP8:AP11)-MIN(AP8:AP11)+1</f>
        <v>1</v>
      </c>
      <c r="AQ12" s="55">
        <f>MAX(AQ8:AQ11)-MIN(AQ8:AQ11)+1</f>
        <v>1</v>
      </c>
      <c r="AR12" s="55">
        <f>MAX(AR8:AR11)-MIN(AR8:AR11)+1</f>
        <v>1</v>
      </c>
      <c r="AS12" s="55">
        <f>MAX(AS8:AS11)-MIN(AS8:AS11)+1</f>
        <v>1</v>
      </c>
      <c r="AT12" s="55">
        <f>MAX(AT8:AT11)-MIN(AT8:AT11)+1</f>
        <v>1</v>
      </c>
      <c r="AY12" s="24"/>
      <c r="AZ12" s="24"/>
      <c r="BA12" s="24"/>
      <c r="BB12" s="24"/>
      <c r="BC12" s="35"/>
      <c r="BD12" s="24"/>
      <c r="BE12" s="118">
        <v>57</v>
      </c>
      <c r="BF12" s="27" t="str">
        <f>T58</f>
        <v>Uruguay</v>
      </c>
      <c r="BG12" s="28">
        <v>0</v>
      </c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Szo</v>
      </c>
      <c r="C13" s="20" t="str">
        <f t="shared" si="1"/>
        <v>Jún 16, 2018</v>
      </c>
      <c r="D13" s="21">
        <f t="shared" si="8"/>
        <v>0.54166666666666663</v>
      </c>
      <c r="E13" s="101" t="str">
        <f>AB26</f>
        <v>Argentína</v>
      </c>
      <c r="F13" s="22">
        <v>1</v>
      </c>
      <c r="G13" s="23">
        <v>1</v>
      </c>
      <c r="H13" s="104" t="str">
        <f>AB27</f>
        <v>Izland</v>
      </c>
      <c r="J13" s="36"/>
      <c r="K13" s="37"/>
      <c r="L13" s="37"/>
      <c r="M13" s="37"/>
      <c r="N13" s="37"/>
      <c r="O13" s="37"/>
      <c r="P13" s="37"/>
      <c r="R13" s="55">
        <f>DATE(2018,6,16)+TIME(2,0,0)+gmt_delta</f>
        <v>43267.541666666672</v>
      </c>
      <c r="S13" s="62" t="str">
        <f t="shared" si="2"/>
        <v>Argentína_draw</v>
      </c>
      <c r="T13" s="62" t="str">
        <f t="shared" si="3"/>
        <v>Izland_draw</v>
      </c>
      <c r="U13" s="56">
        <f t="shared" si="4"/>
        <v>0</v>
      </c>
      <c r="V13" s="55">
        <f t="shared" si="5"/>
        <v>0</v>
      </c>
      <c r="W13" s="55">
        <f t="shared" si="6"/>
        <v>0</v>
      </c>
      <c r="X13" s="55">
        <f t="shared" si="7"/>
        <v>1</v>
      </c>
      <c r="Y13" s="55">
        <f t="shared" si="9"/>
        <v>0</v>
      </c>
      <c r="AH13" s="55">
        <f>MIN(AH8:AH11)</f>
        <v>-4</v>
      </c>
      <c r="AI13" s="55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Jún 30, 2018   14:00</v>
      </c>
      <c r="AZ13" s="24"/>
      <c r="BA13" s="24"/>
      <c r="BB13" s="34"/>
      <c r="BC13" s="35"/>
      <c r="BD13" s="38"/>
      <c r="BE13" s="119"/>
      <c r="BF13" s="30" t="str">
        <f>T59</f>
        <v>Franciaország</v>
      </c>
      <c r="BG13" s="31">
        <v>2</v>
      </c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Szo</v>
      </c>
      <c r="C14" s="20" t="str">
        <f t="shared" si="1"/>
        <v>Jún 16, 2018</v>
      </c>
      <c r="D14" s="21">
        <f t="shared" si="8"/>
        <v>0.79166666666666663</v>
      </c>
      <c r="E14" s="101" t="str">
        <f>AB28</f>
        <v>Horvátország</v>
      </c>
      <c r="F14" s="22">
        <v>2</v>
      </c>
      <c r="G14" s="23">
        <v>0</v>
      </c>
      <c r="H14" s="104" t="str">
        <f>AB29</f>
        <v>Nigéria</v>
      </c>
      <c r="J14" s="71" t="str">
        <f>INDEX(T,9,lang) &amp; " " &amp; "B"</f>
        <v>Csoport B</v>
      </c>
      <c r="K14" s="72" t="str">
        <f>INDEX(T,10,lang)</f>
        <v>M</v>
      </c>
      <c r="L14" s="72" t="str">
        <f>INDEX(T,11,lang)</f>
        <v>GY</v>
      </c>
      <c r="M14" s="72" t="str">
        <f>INDEX(T,12,lang)</f>
        <v>D</v>
      </c>
      <c r="N14" s="72" t="str">
        <f>INDEX(T,13,lang)</f>
        <v>V</v>
      </c>
      <c r="O14" s="72" t="str">
        <f>INDEX(T,14,lang)</f>
        <v>Gólkül.</v>
      </c>
      <c r="P14" s="73" t="str">
        <f>INDEX(T,15,lang)</f>
        <v>PNT</v>
      </c>
      <c r="R14" s="55">
        <f>DATE(2018,6,16)+TIME(8,0,0)+gmt_delta</f>
        <v>43267.791666666672</v>
      </c>
      <c r="S14" s="62" t="str">
        <f t="shared" si="2"/>
        <v>Horvátország_win</v>
      </c>
      <c r="T14" s="62" t="str">
        <f t="shared" si="3"/>
        <v>Nigéria_lose</v>
      </c>
      <c r="U14" s="56">
        <f t="shared" si="4"/>
        <v>0</v>
      </c>
      <c r="V14" s="55">
        <f t="shared" si="5"/>
        <v>0</v>
      </c>
      <c r="W14" s="55">
        <f t="shared" si="6"/>
        <v>0</v>
      </c>
      <c r="X14" s="55">
        <f t="shared" si="7"/>
        <v>0</v>
      </c>
      <c r="Y14" s="55">
        <f t="shared" si="9"/>
        <v>1</v>
      </c>
      <c r="AA14" s="55">
        <f>COUNTIF(AN14:AN17,CONCATENATE("&gt;=",AN14))</f>
        <v>2</v>
      </c>
      <c r="AB14" s="56" t="str">
        <f>VLOOKUP("Portugal",T,lang,FALSE)</f>
        <v>Portugália</v>
      </c>
      <c r="AC14" s="55">
        <f>COUNTIF($S$7:$T$54,"=" &amp; AB14 &amp; "_win")</f>
        <v>1</v>
      </c>
      <c r="AD14" s="55">
        <f>COUNTIF($S$7:$T$54,"=" &amp; AB14 &amp; "_draw")</f>
        <v>2</v>
      </c>
      <c r="AE14" s="55">
        <f>COUNTIF($S$7:$T$54,"=" &amp; AB14 &amp; "_lose")</f>
        <v>0</v>
      </c>
      <c r="AF14" s="55">
        <f>SUMIF($E$7:$E$54,$AB14,$F$7:$F$54) + SUMIF($H$7:$H$54,$AB14,$G$7:$G$54)</f>
        <v>5</v>
      </c>
      <c r="AG14" s="55">
        <f>SUMIF($E$7:$E$54,$AB14,$G$7:$G$54) + SUMIF($H$7:$H$54,$AB14,$F$7:$F$54)</f>
        <v>4</v>
      </c>
      <c r="AH14" s="55">
        <f>(AF14-AG14)*100+AK14*10000+AF14</f>
        <v>50105</v>
      </c>
      <c r="AI14" s="55">
        <f>AF14-AG14</f>
        <v>1</v>
      </c>
      <c r="AJ14" s="55">
        <f>(AI14-AI19)/AI18</f>
        <v>0.75</v>
      </c>
      <c r="AK14" s="55">
        <f>AC14*3+AD14</f>
        <v>5</v>
      </c>
      <c r="AL14" s="55">
        <f>AP14/AP18*1000+AQ14/AQ18*100+AT14/AT18*10+AR14/AR18</f>
        <v>0</v>
      </c>
      <c r="AM14" s="55">
        <f>VLOOKUP(AB14,db_fifarank,2,FALSE)/2000000</f>
        <v>6.7900000000000002E-4</v>
      </c>
      <c r="AN14" s="56">
        <f>1000*AK14/AK18+100*AJ14+10*AF14/AF18+1*AL14/AL18+AM14</f>
        <v>1085.000679</v>
      </c>
      <c r="AO14" s="57" t="str">
        <f>IF(SUM(AC14:AE17)=12,J15,INDEX(T,72,lang))</f>
        <v>Spanyolország</v>
      </c>
      <c r="AP14" s="58">
        <f>SUMPRODUCT(($S$7:$S$54=AB14&amp;"_win")*($U$7:$U$54))+SUMPRODUCT(($T$7:$T$54=AB14&amp;"_win")*($U$7:$U$54))</f>
        <v>0</v>
      </c>
      <c r="AQ14" s="59">
        <f>SUMPRODUCT(($S$7:$S$54=AB14&amp;"_draw")*($U$7:$U$54))+SUMPRODUCT(($T$7:$T$54=AB14&amp;"_draw")*($U$7:$U$54))</f>
        <v>0</v>
      </c>
      <c r="AR14" s="59">
        <f>SUMPRODUCT(($E$7:$E$54=AB14)*($U$7:$U$54)*($F$7:$F$54))+SUMPRODUCT(($H$7:$H$54=AB14)*($U$7:$U$54)*($G$7:$G$54))</f>
        <v>0</v>
      </c>
      <c r="AS14" s="59">
        <f>SUMPRODUCT(($E$7:$E$54=AB14)*($U$7:$U$54)*($G$7:$G$54))+SUMPRODUCT(($H$7:$H$54=AB14)*($U$7:$U$54)*($F$7:$F$54))</f>
        <v>0</v>
      </c>
      <c r="AT14" s="59">
        <f>AR14-AS14</f>
        <v>0</v>
      </c>
      <c r="AY14" s="118">
        <v>50</v>
      </c>
      <c r="AZ14" s="27" t="str">
        <f>AO20</f>
        <v>Franciaország</v>
      </c>
      <c r="BA14" s="28">
        <v>4</v>
      </c>
      <c r="BB14" s="29"/>
      <c r="BC14" s="39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Vas</v>
      </c>
      <c r="C15" s="20" t="str">
        <f t="shared" si="1"/>
        <v>Jún 17, 2018</v>
      </c>
      <c r="D15" s="21">
        <f t="shared" si="8"/>
        <v>0.75</v>
      </c>
      <c r="E15" s="101" t="str">
        <f>AB32</f>
        <v>Brazília</v>
      </c>
      <c r="F15" s="22">
        <v>1</v>
      </c>
      <c r="G15" s="23">
        <v>1</v>
      </c>
      <c r="H15" s="104" t="str">
        <f>AB33</f>
        <v>Svájc</v>
      </c>
      <c r="J15" s="63" t="str">
        <f>VLOOKUP(1,AA14:AK17,2,FALSE)</f>
        <v>Spanyolország</v>
      </c>
      <c r="K15" s="64">
        <f>L15+M15+N15</f>
        <v>3</v>
      </c>
      <c r="L15" s="64">
        <f>VLOOKUP(1,AA14:AK17,3,FALSE)</f>
        <v>1</v>
      </c>
      <c r="M15" s="64">
        <f>VLOOKUP(1,AA14:AK17,4,FALSE)</f>
        <v>2</v>
      </c>
      <c r="N15" s="64">
        <f>VLOOKUP(1,AA14:AK17,5,FALSE)</f>
        <v>0</v>
      </c>
      <c r="O15" s="64" t="str">
        <f>VLOOKUP(1,AA14:AK17,6,FALSE) &amp; " - " &amp; VLOOKUP(1,AA14:AK17,7,FALSE)</f>
        <v>6 - 5</v>
      </c>
      <c r="P15" s="65">
        <f>L15*3+M15</f>
        <v>5</v>
      </c>
      <c r="R15" s="55">
        <f>DATE(2018,6,17)+TIME(7,0,0)+gmt_delta</f>
        <v>43268.75</v>
      </c>
      <c r="S15" s="62" t="str">
        <f t="shared" si="2"/>
        <v>Brazília_draw</v>
      </c>
      <c r="T15" s="62" t="str">
        <f t="shared" si="3"/>
        <v>Svájc_draw</v>
      </c>
      <c r="U15" s="56">
        <f t="shared" si="4"/>
        <v>0</v>
      </c>
      <c r="V15" s="55">
        <f t="shared" si="5"/>
        <v>0</v>
      </c>
      <c r="W15" s="55">
        <f t="shared" si="6"/>
        <v>0</v>
      </c>
      <c r="X15" s="55">
        <f t="shared" si="7"/>
        <v>0</v>
      </c>
      <c r="Y15" s="55">
        <f t="shared" si="9"/>
        <v>0</v>
      </c>
      <c r="AA15" s="55">
        <f>COUNTIF(AN14:AN17,CONCATENATE("&gt;=",AN15))</f>
        <v>1</v>
      </c>
      <c r="AB15" s="56" t="str">
        <f>VLOOKUP("Spain",T,lang,FALSE)</f>
        <v>Spanyolország</v>
      </c>
      <c r="AC15" s="55">
        <f>COUNTIF($S$7:$T$54,"=" &amp; AB15 &amp; "_win")</f>
        <v>1</v>
      </c>
      <c r="AD15" s="55">
        <f>COUNTIF($S$7:$T$54,"=" &amp; AB15 &amp; "_draw")</f>
        <v>2</v>
      </c>
      <c r="AE15" s="55">
        <f>COUNTIF($S$7:$T$54,"=" &amp; AB15 &amp; "_lose")</f>
        <v>0</v>
      </c>
      <c r="AF15" s="55">
        <f>SUMIF($E$7:$E$54,$AB15,$F$7:$F$54) + SUMIF($H$7:$H$54,$AB15,$G$7:$G$54)</f>
        <v>6</v>
      </c>
      <c r="AG15" s="55">
        <f>SUMIF($E$7:$E$54,$AB15,$G$7:$G$54) + SUMIF($H$7:$H$54,$AB15,$F$7:$F$54)</f>
        <v>5</v>
      </c>
      <c r="AH15" s="55">
        <f>(AF15-AG15)*100+AK15*10000+AF15</f>
        <v>50106</v>
      </c>
      <c r="AI15" s="55">
        <f>AF15-AG15</f>
        <v>1</v>
      </c>
      <c r="AJ15" s="55">
        <f>(AI15-AI19)/AI18</f>
        <v>0.75</v>
      </c>
      <c r="AK15" s="55">
        <f>AC15*3+AD15</f>
        <v>5</v>
      </c>
      <c r="AL15" s="55">
        <f>AP15/AP18*1000+AQ15/AQ18*100+AT15/AT18*10+AR15/AR18</f>
        <v>0</v>
      </c>
      <c r="AM15" s="55">
        <f>VLOOKUP(AB15,db_fifarank,2,FALSE)/2000000</f>
        <v>6.1550000000000005E-4</v>
      </c>
      <c r="AN15" s="56">
        <f>1000*AK15/AK18+100*AJ15+10*AF15/AF18+1*AL15/AL18+AM15</f>
        <v>1087.0006155000001</v>
      </c>
      <c r="AO15" s="57" t="str">
        <f>IF(SUM(AC14:AE17)=12,J16,INDEX(T,73,lang))</f>
        <v>Portugália</v>
      </c>
      <c r="AP15" s="58">
        <f>SUMPRODUCT(($S$7:$S$54=AB15&amp;"_win")*($U$7:$U$54))+SUMPRODUCT(($T$7:$T$54=AB15&amp;"_win")*($U$7:$U$54))</f>
        <v>0</v>
      </c>
      <c r="AQ15" s="59">
        <f>SUMPRODUCT(($S$7:$S$54=AB15&amp;"_draw")*($U$7:$U$54))+SUMPRODUCT(($T$7:$T$54=AB15&amp;"_draw")*($U$7:$U$54))</f>
        <v>0</v>
      </c>
      <c r="AR15" s="59">
        <f>SUMPRODUCT(($E$7:$E$54=AB15)*($U$7:$U$54)*($F$7:$F$54))+SUMPRODUCT(($H$7:$H$54=AB15)*($U$7:$U$54)*($G$7:$G$54))</f>
        <v>0</v>
      </c>
      <c r="AS15" s="59">
        <f>SUMPRODUCT(($E$7:$E$54=AB15)*($U$7:$U$54)*($G$7:$G$54))+SUMPRODUCT(($H$7:$H$54=AB15)*($U$7:$U$54)*($F$7:$F$54))</f>
        <v>0</v>
      </c>
      <c r="AT15" s="59">
        <f>AR15-AS15</f>
        <v>0</v>
      </c>
      <c r="AY15" s="119"/>
      <c r="AZ15" s="30" t="str">
        <f>AO27</f>
        <v>Argentína</v>
      </c>
      <c r="BA15" s="31">
        <v>3</v>
      </c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Júl 10, 2018   18:00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Vas</v>
      </c>
      <c r="C16" s="20" t="str">
        <f t="shared" si="1"/>
        <v>Jún 17, 2018</v>
      </c>
      <c r="D16" s="21">
        <f t="shared" si="8"/>
        <v>0.5</v>
      </c>
      <c r="E16" s="101" t="str">
        <f>AB34</f>
        <v>Costa Rica</v>
      </c>
      <c r="F16" s="22">
        <v>0</v>
      </c>
      <c r="G16" s="23">
        <v>1</v>
      </c>
      <c r="H16" s="104" t="str">
        <f>AB35</f>
        <v>Szerbia</v>
      </c>
      <c r="J16" s="66" t="str">
        <f>VLOOKUP(2,AA14:AK17,2,FALSE)</f>
        <v>Portugália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67">
        <f>L16*3+M16</f>
        <v>5</v>
      </c>
      <c r="R16" s="55">
        <f>DATE(2018,6,17)+TIME(1,0,0)+gmt_delta</f>
        <v>43268.5</v>
      </c>
      <c r="S16" s="62" t="str">
        <f t="shared" si="2"/>
        <v>Costa Rica_lose</v>
      </c>
      <c r="T16" s="62" t="str">
        <f t="shared" si="3"/>
        <v>Szerbia_win</v>
      </c>
      <c r="U16" s="56">
        <f t="shared" si="4"/>
        <v>0</v>
      </c>
      <c r="V16" s="55">
        <f t="shared" si="5"/>
        <v>0</v>
      </c>
      <c r="W16" s="55">
        <f t="shared" si="6"/>
        <v>0</v>
      </c>
      <c r="X16" s="55">
        <f t="shared" si="7"/>
        <v>0</v>
      </c>
      <c r="Y16" s="55">
        <f t="shared" si="9"/>
        <v>-1</v>
      </c>
      <c r="AA16" s="55">
        <f>COUNTIF(AN14:AN17,CONCATENATE("&gt;=",AN16))</f>
        <v>4</v>
      </c>
      <c r="AB16" s="56" t="str">
        <f>VLOOKUP("Morocco",T,lang,FALSE)</f>
        <v>Marokkó</v>
      </c>
      <c r="AC16" s="55">
        <f>COUNTIF($S$7:$T$54,"=" &amp; AB16 &amp; "_win")</f>
        <v>0</v>
      </c>
      <c r="AD16" s="55">
        <f>COUNTIF($S$7:$T$54,"=" &amp; AB16 &amp; "_draw")</f>
        <v>1</v>
      </c>
      <c r="AE16" s="55">
        <f>COUNTIF($S$7:$T$54,"=" &amp; AB16 &amp; "_lose")</f>
        <v>2</v>
      </c>
      <c r="AF16" s="55">
        <f>SUMIF($E$7:$E$54,$AB16,$F$7:$F$54) + SUMIF($H$7:$H$54,$AB16,$G$7:$G$54)</f>
        <v>2</v>
      </c>
      <c r="AG16" s="55">
        <f>SUMIF($E$7:$E$54,$AB16,$G$7:$G$54) + SUMIF($H$7:$H$54,$AB16,$F$7:$F$54)</f>
        <v>4</v>
      </c>
      <c r="AH16" s="55">
        <f>(AF16-AG16)*100+AK16*10000+AF16</f>
        <v>9802</v>
      </c>
      <c r="AI16" s="55">
        <f>AF16-AG16</f>
        <v>-2</v>
      </c>
      <c r="AJ16" s="55">
        <f>(AI16-AI19)/AI18</f>
        <v>0</v>
      </c>
      <c r="AK16" s="55">
        <f>AC16*3+AD16</f>
        <v>1</v>
      </c>
      <c r="AL16" s="55">
        <f>AP16/AP18*1000+AQ16/AQ18*100+AT16/AT18*10+AR16/AR18</f>
        <v>0</v>
      </c>
      <c r="AM16" s="55">
        <f>VLOOKUP(AB16,db_fifarank,2,FALSE)/2000000</f>
        <v>3.6900000000000002E-4</v>
      </c>
      <c r="AN16" s="56">
        <f>1000*AK16/AK18+100*AJ16+10*AF16/AF18+1*AL16/AL18+AM16</f>
        <v>204.00036900000001</v>
      </c>
      <c r="AP16" s="58">
        <f>SUMPRODUCT(($S$7:$S$54=AB16&amp;"_win")*($U$7:$U$54))+SUMPRODUCT(($T$7:$T$54=AB16&amp;"_win")*($U$7:$U$54))</f>
        <v>0</v>
      </c>
      <c r="AQ16" s="59">
        <f>SUMPRODUCT(($S$7:$S$54=AB16&amp;"_draw")*($U$7:$U$54))+SUMPRODUCT(($T$7:$T$54=AB16&amp;"_draw")*($U$7:$U$54))</f>
        <v>0</v>
      </c>
      <c r="AR16" s="59">
        <f>SUMPRODUCT(($E$7:$E$54=AB16)*($U$7:$U$54)*($F$7:$F$54))+SUMPRODUCT(($H$7:$H$54=AB16)*($U$7:$U$54)*($G$7:$G$54))</f>
        <v>0</v>
      </c>
      <c r="AS16" s="59">
        <f>SUMPRODUCT(($E$7:$E$54=AB16)*($U$7:$U$54)*($G$7:$G$54))+SUMPRODUCT(($H$7:$H$54=AB16)*($U$7:$U$54)*($F$7:$F$54))</f>
        <v>0</v>
      </c>
      <c r="AT16" s="5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18">
        <v>61</v>
      </c>
      <c r="BL16" s="27" t="str">
        <f>T69</f>
        <v>Franciaország</v>
      </c>
      <c r="BM16" s="28"/>
      <c r="BN16" s="29"/>
      <c r="BO16" s="24"/>
      <c r="BP16" s="40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Vas</v>
      </c>
      <c r="C17" s="20" t="str">
        <f t="shared" si="1"/>
        <v>Jún 17, 2018</v>
      </c>
      <c r="D17" s="21">
        <f t="shared" si="8"/>
        <v>0.625</v>
      </c>
      <c r="E17" s="101" t="str">
        <f>AB38</f>
        <v>Németország</v>
      </c>
      <c r="F17" s="22">
        <v>0</v>
      </c>
      <c r="G17" s="23">
        <v>1</v>
      </c>
      <c r="H17" s="104" t="str">
        <f>AB39</f>
        <v>Mexikó</v>
      </c>
      <c r="J17" s="66" t="str">
        <f>VLOOKUP(3,AA14:AK17,2,FALSE)</f>
        <v>Irán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67">
        <f>L17*3+M17</f>
        <v>4</v>
      </c>
      <c r="R17" s="55">
        <f>DATE(2018,6,17)+TIME(4,0,0)+gmt_delta</f>
        <v>43268.625</v>
      </c>
      <c r="S17" s="62" t="str">
        <f t="shared" si="2"/>
        <v>Németország_lose</v>
      </c>
      <c r="T17" s="62" t="str">
        <f t="shared" si="3"/>
        <v>Mexikó_win</v>
      </c>
      <c r="U17" s="56">
        <f t="shared" si="4"/>
        <v>0</v>
      </c>
      <c r="V17" s="55">
        <f t="shared" si="5"/>
        <v>0</v>
      </c>
      <c r="W17" s="55">
        <f t="shared" si="6"/>
        <v>0</v>
      </c>
      <c r="X17" s="55">
        <f t="shared" si="7"/>
        <v>0</v>
      </c>
      <c r="Y17" s="55">
        <f t="shared" si="9"/>
        <v>-1</v>
      </c>
      <c r="AA17" s="55">
        <f>COUNTIF(AN14:AN17,CONCATENATE("&gt;=",AN17))</f>
        <v>3</v>
      </c>
      <c r="AB17" s="56" t="str">
        <f>VLOOKUP("Iran",T,lang,FALSE)</f>
        <v>Irán</v>
      </c>
      <c r="AC17" s="55">
        <f>COUNTIF($S$7:$T$54,"=" &amp; AB17 &amp; "_win")</f>
        <v>1</v>
      </c>
      <c r="AD17" s="55">
        <f>COUNTIF($S$7:$T$54,"=" &amp; AB17 &amp; "_draw")</f>
        <v>1</v>
      </c>
      <c r="AE17" s="55">
        <f>COUNTIF($S$7:$T$54,"=" &amp; AB17 &amp; "_lose")</f>
        <v>1</v>
      </c>
      <c r="AF17" s="55">
        <f>SUMIF($E$7:$E$54,$AB17,$F$7:$F$54) + SUMIF($H$7:$H$54,$AB17,$G$7:$G$54)</f>
        <v>2</v>
      </c>
      <c r="AG17" s="55">
        <f>SUMIF($E$7:$E$54,$AB17,$G$7:$G$54) + SUMIF($H$7:$H$54,$AB17,$F$7:$F$54)</f>
        <v>2</v>
      </c>
      <c r="AH17" s="55">
        <f>(AF17-AG17)*100+AK17*10000+AF17</f>
        <v>40002</v>
      </c>
      <c r="AI17" s="55">
        <f>AF17-AG17</f>
        <v>0</v>
      </c>
      <c r="AJ17" s="55">
        <f>(AI17-AI19)/AI18</f>
        <v>0.5</v>
      </c>
      <c r="AK17" s="55">
        <f>AC17*3+AD17</f>
        <v>4</v>
      </c>
      <c r="AL17" s="55">
        <f>AP17/AP18*1000+AQ17/AQ18*100+AT17/AT18*10+AR17/AR18</f>
        <v>0</v>
      </c>
      <c r="AM17" s="55">
        <f>VLOOKUP(AB17,db_fifarank,2,FALSE)/2000000</f>
        <v>3.9899999999999999E-4</v>
      </c>
      <c r="AN17" s="56">
        <f>1000*AK17/AK18+100*AJ17+10*AF17/AF18+1*AL17/AL18+AM17</f>
        <v>854.00039900000002</v>
      </c>
      <c r="AP17" s="58">
        <f>SUMPRODUCT(($S$7:$S$54=AB17&amp;"_win")*($U$7:$U$54))+SUMPRODUCT(($T$7:$T$54=AB17&amp;"_win")*($U$7:$U$54))</f>
        <v>0</v>
      </c>
      <c r="AQ17" s="59">
        <f>SUMPRODUCT(($S$7:$S$54=AB17&amp;"_draw")*($U$7:$U$54))+SUMPRODUCT(($T$7:$T$54=AB17&amp;"_draw")*($U$7:$U$54))</f>
        <v>0</v>
      </c>
      <c r="AR17" s="59">
        <f>SUMPRODUCT(($E$7:$E$54=AB17)*($U$7:$U$54)*($F$7:$F$54))+SUMPRODUCT(($H$7:$H$54=AB17)*($U$7:$U$54)*($G$7:$G$54))</f>
        <v>0</v>
      </c>
      <c r="AS17" s="59">
        <f>SUMPRODUCT(($E$7:$E$54=AB17)*($U$7:$U$54)*($G$7:$G$54))+SUMPRODUCT(($H$7:$H$54=AB17)*($U$7:$U$54)*($F$7:$F$54))</f>
        <v>0</v>
      </c>
      <c r="AT17" s="5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Júl 2, 2018   14:00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8"/>
      <c r="BK17" s="119"/>
      <c r="BL17" s="30" t="str">
        <f>T70</f>
        <v>Belgium</v>
      </c>
      <c r="BM17" s="31"/>
      <c r="BN17" s="32"/>
      <c r="BO17" s="33"/>
      <c r="BP17" s="41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Hét</v>
      </c>
      <c r="C18" s="20" t="str">
        <f t="shared" si="1"/>
        <v>Jún 18, 2018</v>
      </c>
      <c r="D18" s="21">
        <f t="shared" si="8"/>
        <v>0.5</v>
      </c>
      <c r="E18" s="101" t="str">
        <f>AB40</f>
        <v>Svédország</v>
      </c>
      <c r="F18" s="22">
        <v>1</v>
      </c>
      <c r="G18" s="23">
        <v>0</v>
      </c>
      <c r="H18" s="104" t="str">
        <f>AB41</f>
        <v>Dél-Korea</v>
      </c>
      <c r="J18" s="68" t="str">
        <f>VLOOKUP(4,AA14:AK17,2,FALSE)</f>
        <v>Marokkó</v>
      </c>
      <c r="K18" s="69">
        <f>L18+M18+N18</f>
        <v>3</v>
      </c>
      <c r="L18" s="69">
        <f>VLOOKUP(4,AA14:AK17,3,FALSE)</f>
        <v>0</v>
      </c>
      <c r="M18" s="69">
        <f>VLOOKUP(4,AA14:AK17,4,FALSE)</f>
        <v>1</v>
      </c>
      <c r="N18" s="69">
        <f>VLOOKUP(4,AA14:AK17,5,FALSE)</f>
        <v>2</v>
      </c>
      <c r="O18" s="69" t="str">
        <f>VLOOKUP(4,AA14:AK17,6,FALSE) &amp; " - " &amp; VLOOKUP(4,AA14:AK17,7,FALSE)</f>
        <v>2 - 4</v>
      </c>
      <c r="P18" s="70">
        <f>L18*3+M18</f>
        <v>1</v>
      </c>
      <c r="R18" s="55">
        <f>DATE(2018,6,18)+TIME(1,0,0)+gmt_delta</f>
        <v>43269.5</v>
      </c>
      <c r="S18" s="62" t="str">
        <f t="shared" si="2"/>
        <v>Svédország_win</v>
      </c>
      <c r="T18" s="62" t="str">
        <f t="shared" si="3"/>
        <v>Dél-Korea_lose</v>
      </c>
      <c r="U18" s="56">
        <f t="shared" si="4"/>
        <v>0</v>
      </c>
      <c r="V18" s="55">
        <f t="shared" si="5"/>
        <v>0</v>
      </c>
      <c r="W18" s="55">
        <f t="shared" si="6"/>
        <v>0</v>
      </c>
      <c r="X18" s="55">
        <f t="shared" si="7"/>
        <v>0</v>
      </c>
      <c r="Y18" s="55">
        <f t="shared" si="9"/>
        <v>1</v>
      </c>
      <c r="AC18" s="55">
        <f t="shared" ref="AC18:AL18" si="11">MAX(AC14:AC17)-MIN(AC14:AC17)+1</f>
        <v>2</v>
      </c>
      <c r="AD18" s="55">
        <f t="shared" si="11"/>
        <v>2</v>
      </c>
      <c r="AE18" s="55">
        <f t="shared" si="11"/>
        <v>3</v>
      </c>
      <c r="AF18" s="55">
        <f t="shared" si="11"/>
        <v>5</v>
      </c>
      <c r="AG18" s="55">
        <f t="shared" si="11"/>
        <v>4</v>
      </c>
      <c r="AH18" s="55">
        <f>MAX(AH14:AH17)-AH19+1</f>
        <v>40305</v>
      </c>
      <c r="AI18" s="55">
        <f>MAX(AI14:AI17)-AI19+1</f>
        <v>4</v>
      </c>
      <c r="AK18" s="55">
        <f t="shared" si="11"/>
        <v>5</v>
      </c>
      <c r="AL18" s="55">
        <f t="shared" si="11"/>
        <v>1</v>
      </c>
      <c r="AP18" s="55">
        <f>MAX(AP14:AP17)-MIN(AP14:AP17)+1</f>
        <v>1</v>
      </c>
      <c r="AQ18" s="55">
        <f>MAX(AQ14:AQ17)-MIN(AQ14:AQ17)+1</f>
        <v>1</v>
      </c>
      <c r="AR18" s="55">
        <f>MAX(AR14:AR17)-MIN(AR14:AR17)+1</f>
        <v>1</v>
      </c>
      <c r="AS18" s="55">
        <f>MAX(AS14:AS17)-MIN(AS14:AS17)+1</f>
        <v>1</v>
      </c>
      <c r="AT18" s="55">
        <f>MAX(AT14:AT17)-MIN(AT14:AT17)+1</f>
        <v>1</v>
      </c>
      <c r="AY18" s="118">
        <v>53</v>
      </c>
      <c r="AZ18" s="27" t="str">
        <f>AO32</f>
        <v>Brazília</v>
      </c>
      <c r="BA18" s="28">
        <v>2</v>
      </c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Hét</v>
      </c>
      <c r="C19" s="20" t="str">
        <f t="shared" si="1"/>
        <v>Jún 18, 2018</v>
      </c>
      <c r="D19" s="21">
        <f t="shared" si="8"/>
        <v>0.625</v>
      </c>
      <c r="E19" s="101" t="str">
        <f>AB44</f>
        <v>Belgium</v>
      </c>
      <c r="F19" s="22">
        <v>3</v>
      </c>
      <c r="G19" s="23">
        <v>0</v>
      </c>
      <c r="H19" s="104" t="str">
        <f>AB45</f>
        <v>Panama</v>
      </c>
      <c r="J19" s="36"/>
      <c r="K19" s="37"/>
      <c r="L19" s="37"/>
      <c r="M19" s="37"/>
      <c r="N19" s="37"/>
      <c r="O19" s="37"/>
      <c r="P19" s="37"/>
      <c r="R19" s="55">
        <f>DATE(2018,6,18)+TIME(4,0,0)+gmt_delta</f>
        <v>43269.625</v>
      </c>
      <c r="S19" s="62" t="str">
        <f t="shared" si="2"/>
        <v>Belgium_win</v>
      </c>
      <c r="T19" s="62" t="str">
        <f t="shared" si="3"/>
        <v>Panama_lose</v>
      </c>
      <c r="U19" s="56">
        <f t="shared" si="4"/>
        <v>0</v>
      </c>
      <c r="V19" s="55">
        <f t="shared" si="5"/>
        <v>0</v>
      </c>
      <c r="W19" s="55">
        <f t="shared" si="6"/>
        <v>0</v>
      </c>
      <c r="X19" s="55">
        <f t="shared" si="7"/>
        <v>0</v>
      </c>
      <c r="Y19" s="55">
        <f t="shared" si="9"/>
        <v>1</v>
      </c>
      <c r="AH19" s="55">
        <f>MIN(AH14:AH17)</f>
        <v>9802</v>
      </c>
      <c r="AI19" s="55">
        <f>MIN(AI14:AI17)</f>
        <v>-2</v>
      </c>
      <c r="AY19" s="119"/>
      <c r="AZ19" s="30" t="str">
        <f>AO39</f>
        <v>Mexikó</v>
      </c>
      <c r="BA19" s="31">
        <v>0</v>
      </c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Júl 6, 2018   18:00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Hét</v>
      </c>
      <c r="C20" s="20" t="str">
        <f t="shared" si="1"/>
        <v>Jún 18, 2018</v>
      </c>
      <c r="D20" s="21">
        <f t="shared" si="8"/>
        <v>0.75</v>
      </c>
      <c r="E20" s="101" t="str">
        <f>AB46</f>
        <v>Tunézia</v>
      </c>
      <c r="F20" s="22">
        <v>1</v>
      </c>
      <c r="G20" s="23">
        <v>2</v>
      </c>
      <c r="H20" s="104" t="str">
        <f>AB47</f>
        <v>Anglia</v>
      </c>
      <c r="J20" s="71" t="str">
        <f>INDEX(T,9,lang) &amp; " " &amp; "C"</f>
        <v>Csoport C</v>
      </c>
      <c r="K20" s="72" t="str">
        <f>INDEX(T,10,lang)</f>
        <v>M</v>
      </c>
      <c r="L20" s="72" t="str">
        <f>INDEX(T,11,lang)</f>
        <v>GY</v>
      </c>
      <c r="M20" s="72" t="str">
        <f>INDEX(T,12,lang)</f>
        <v>D</v>
      </c>
      <c r="N20" s="72" t="str">
        <f>INDEX(T,13,lang)</f>
        <v>V</v>
      </c>
      <c r="O20" s="72" t="str">
        <f>INDEX(T,14,lang)</f>
        <v>Gólkül.</v>
      </c>
      <c r="P20" s="73" t="str">
        <f>INDEX(T,15,lang)</f>
        <v>PNT</v>
      </c>
      <c r="R20" s="55">
        <f>DATE(2018,6,18)+TIME(7,0,0)+gmt_delta</f>
        <v>43269.75</v>
      </c>
      <c r="S20" s="62" t="str">
        <f t="shared" si="2"/>
        <v>Tunézia_lose</v>
      </c>
      <c r="T20" s="62" t="str">
        <f t="shared" si="3"/>
        <v>Anglia_win</v>
      </c>
      <c r="U20" s="56">
        <f t="shared" si="4"/>
        <v>0</v>
      </c>
      <c r="V20" s="55">
        <f t="shared" si="5"/>
        <v>0</v>
      </c>
      <c r="W20" s="55">
        <f t="shared" si="6"/>
        <v>0</v>
      </c>
      <c r="X20" s="55">
        <f t="shared" si="7"/>
        <v>0</v>
      </c>
      <c r="Y20" s="55">
        <f t="shared" si="9"/>
        <v>-1</v>
      </c>
      <c r="AA20" s="55">
        <f>COUNTIF(AN20:AN23,CONCATENATE("&gt;=",AN20))</f>
        <v>1</v>
      </c>
      <c r="AB20" s="56" t="str">
        <f>VLOOKUP("France",T,lang,FALSE)</f>
        <v>Franciaország</v>
      </c>
      <c r="AC20" s="55">
        <f>COUNTIF($S$7:$T$54,"=" &amp; AB20 &amp; "_win")</f>
        <v>2</v>
      </c>
      <c r="AD20" s="55">
        <f>COUNTIF($S$7:$T$54,"=" &amp; AB20 &amp; "_draw")</f>
        <v>1</v>
      </c>
      <c r="AE20" s="55">
        <f>COUNTIF($S$7:$T$54,"=" &amp; AB20 &amp; "_lose")</f>
        <v>0</v>
      </c>
      <c r="AF20" s="55">
        <f>SUMIF($E$7:$E$54,$AB20,$F$7:$F$54) + SUMIF($H$7:$H$54,$AB20,$G$7:$G$54)</f>
        <v>3</v>
      </c>
      <c r="AG20" s="55">
        <f>SUMIF($E$7:$E$54,$AB20,$G$7:$G$54) + SUMIF($H$7:$H$54,$AB20,$F$7:$F$54)</f>
        <v>1</v>
      </c>
      <c r="AH20" s="55">
        <f>(AF20-AG20)*100+AK20*10000+AF20</f>
        <v>70203</v>
      </c>
      <c r="AI20" s="55">
        <f>AF20-AG20</f>
        <v>2</v>
      </c>
      <c r="AJ20" s="55">
        <f>(AI20-AI25)/AI24</f>
        <v>0.83333333333333337</v>
      </c>
      <c r="AK20" s="55">
        <f>AC20*3+AD20</f>
        <v>7</v>
      </c>
      <c r="AL20" s="55">
        <f>AP20/AP24*1000+AQ20/AQ24*100+AT20/AT24*10+AR20/AR24</f>
        <v>0</v>
      </c>
      <c r="AM20" s="55">
        <f>VLOOKUP(AB20,db_fifarank,2,FALSE)/2000000</f>
        <v>5.9150000000000001E-4</v>
      </c>
      <c r="AN20" s="56">
        <f>1000*AK20/AK24+100*AJ20+10*AF20/AF24+1*AL20/AL24+AM20</f>
        <v>1098.3339248333332</v>
      </c>
      <c r="AO20" s="57" t="str">
        <f>IF(SUM(AC20:AE23)=12,J21,INDEX(T,74,lang))</f>
        <v>Franciaország</v>
      </c>
      <c r="AP20" s="58">
        <f>SUMPRODUCT(($S$7:$S$54=AB20&amp;"_win")*($U$7:$U$54))+SUMPRODUCT(($T$7:$T$54=AB20&amp;"_win")*($U$7:$U$54))</f>
        <v>0</v>
      </c>
      <c r="AQ20" s="59">
        <f>SUMPRODUCT(($S$7:$S$54=AB20&amp;"_draw")*($U$7:$U$54))+SUMPRODUCT(($T$7:$T$54=AB20&amp;"_draw")*($U$7:$U$54))</f>
        <v>0</v>
      </c>
      <c r="AR20" s="59">
        <f>SUMPRODUCT(($E$7:$E$54=AB20)*($U$7:$U$54)*($F$7:$F$54))+SUMPRODUCT(($H$7:$H$54=AB20)*($U$7:$U$54)*($G$7:$G$54))</f>
        <v>0</v>
      </c>
      <c r="AS20" s="59">
        <f>SUMPRODUCT(($E$7:$E$54=AB20)*($U$7:$U$54)*($G$7:$G$54))+SUMPRODUCT(($H$7:$H$54=AB20)*($U$7:$U$54)*($F$7:$F$54))</f>
        <v>0</v>
      </c>
      <c r="AT20" s="59">
        <f>AR20-AS20</f>
        <v>0</v>
      </c>
      <c r="AY20" s="24"/>
      <c r="AZ20" s="24"/>
      <c r="BA20" s="24"/>
      <c r="BB20" s="24"/>
      <c r="BC20" s="35"/>
      <c r="BD20" s="24"/>
      <c r="BE20" s="118">
        <v>58</v>
      </c>
      <c r="BF20" s="27" t="str">
        <f>T62</f>
        <v>Brazília</v>
      </c>
      <c r="BG20" s="28">
        <v>1</v>
      </c>
      <c r="BH20" s="29"/>
      <c r="BI20" s="39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Ke</v>
      </c>
      <c r="C21" s="20" t="str">
        <f t="shared" si="1"/>
        <v>Jún 19, 2018</v>
      </c>
      <c r="D21" s="21">
        <f t="shared" si="8"/>
        <v>0.625</v>
      </c>
      <c r="E21" s="101" t="str">
        <f>AB50</f>
        <v>Lengyelország</v>
      </c>
      <c r="F21" s="22">
        <v>1</v>
      </c>
      <c r="G21" s="23">
        <v>2</v>
      </c>
      <c r="H21" s="104" t="str">
        <f>AB51</f>
        <v>Szenegál</v>
      </c>
      <c r="J21" s="63" t="str">
        <f>VLOOKUP(1,AA20:AK23,2,FALSE)</f>
        <v>Franciaország</v>
      </c>
      <c r="K21" s="64">
        <f>L21+M21+N21</f>
        <v>3</v>
      </c>
      <c r="L21" s="64">
        <f>VLOOKUP(1,AA20:AK23,3,FALSE)</f>
        <v>2</v>
      </c>
      <c r="M21" s="64">
        <f>VLOOKUP(1,AA20:AK23,4,FALSE)</f>
        <v>1</v>
      </c>
      <c r="N21" s="64">
        <f>VLOOKUP(1,AA20:AK23,5,FALSE)</f>
        <v>0</v>
      </c>
      <c r="O21" s="64" t="str">
        <f>VLOOKUP(1,AA20:AK23,6,FALSE) &amp; " - " &amp; VLOOKUP(1,AA20:AK23,7,FALSE)</f>
        <v>3 - 1</v>
      </c>
      <c r="P21" s="65">
        <f>L21*3+M21</f>
        <v>7</v>
      </c>
      <c r="R21" s="55">
        <f>DATE(2018,6,19)+TIME(4,0,0)+gmt_delta</f>
        <v>43270.625</v>
      </c>
      <c r="S21" s="62" t="str">
        <f t="shared" si="2"/>
        <v>Lengyelország_lose</v>
      </c>
      <c r="T21" s="62" t="str">
        <f t="shared" si="3"/>
        <v>Szenegál_win</v>
      </c>
      <c r="U21" s="56">
        <f t="shared" si="4"/>
        <v>0</v>
      </c>
      <c r="V21" s="55">
        <f t="shared" si="5"/>
        <v>0</v>
      </c>
      <c r="W21" s="55">
        <f t="shared" si="6"/>
        <v>0</v>
      </c>
      <c r="X21" s="55">
        <f t="shared" si="7"/>
        <v>0</v>
      </c>
      <c r="Y21" s="55">
        <f t="shared" si="9"/>
        <v>-1</v>
      </c>
      <c r="AA21" s="55">
        <f>COUNTIF(AN20:AN23,CONCATENATE("&gt;=",AN21))</f>
        <v>4</v>
      </c>
      <c r="AB21" s="56" t="str">
        <f>VLOOKUP("Australia",T,lang,FALSE)</f>
        <v>Ausztrália</v>
      </c>
      <c r="AC21" s="55">
        <f>COUNTIF($S$7:$T$54,"=" &amp; AB21 &amp; "_win")</f>
        <v>0</v>
      </c>
      <c r="AD21" s="55">
        <f>COUNTIF($S$7:$T$54,"=" &amp; AB21 &amp; "_draw")</f>
        <v>1</v>
      </c>
      <c r="AE21" s="55">
        <f>COUNTIF($S$7:$T$54,"=" &amp; AB21 &amp; "_lose")</f>
        <v>2</v>
      </c>
      <c r="AF21" s="55">
        <f>SUMIF($E$7:$E$54,$AB21,$F$7:$F$54) + SUMIF($H$7:$H$54,$AB21,$G$7:$G$54)</f>
        <v>2</v>
      </c>
      <c r="AG21" s="55">
        <f>SUMIF($E$7:$E$54,$AB21,$G$7:$G$54) + SUMIF($H$7:$H$54,$AB21,$F$7:$F$54)</f>
        <v>5</v>
      </c>
      <c r="AH21" s="55">
        <f>(AF21-AG21)*100+AK21*10000+AF21</f>
        <v>9702</v>
      </c>
      <c r="AI21" s="55">
        <f>AF21-AG21</f>
        <v>-3</v>
      </c>
      <c r="AJ21" s="55">
        <f>(AI21-AI25)/AI24</f>
        <v>0</v>
      </c>
      <c r="AK21" s="55">
        <f>AC21*3+AD21</f>
        <v>1</v>
      </c>
      <c r="AL21" s="55">
        <f>AP21/AP24*1000+AQ21/AQ24*100+AT21/AT24*10+AR21/AR24</f>
        <v>0</v>
      </c>
      <c r="AM21" s="55">
        <f>VLOOKUP(AB21,db_fifarank,2,FALSE)/2000000</f>
        <v>3.7350000000000003E-4</v>
      </c>
      <c r="AN21" s="56">
        <f>1000*AK21/AK24+100*AJ21+10*AF21/AF24+1*AL21/AL24+AM21</f>
        <v>152.85751635714286</v>
      </c>
      <c r="AO21" s="57" t="str">
        <f>IF(SUM(AC20:AE23)=12,J22,INDEX(T,75,lang))</f>
        <v>Dánia</v>
      </c>
      <c r="AP21" s="58">
        <f>SUMPRODUCT(($S$7:$S$54=AB21&amp;"_win")*($U$7:$U$54))+SUMPRODUCT(($T$7:$T$54=AB21&amp;"_win")*($U$7:$U$54))</f>
        <v>0</v>
      </c>
      <c r="AQ21" s="59">
        <f>SUMPRODUCT(($S$7:$S$54=AB21&amp;"_draw")*($U$7:$U$54))+SUMPRODUCT(($T$7:$T$54=AB21&amp;"_draw")*($U$7:$U$54))</f>
        <v>0</v>
      </c>
      <c r="AR21" s="59">
        <f>SUMPRODUCT(($E$7:$E$54=AB21)*($U$7:$U$54)*($F$7:$F$54))+SUMPRODUCT(($H$7:$H$54=AB21)*($U$7:$U$54)*($G$7:$G$54))</f>
        <v>0</v>
      </c>
      <c r="AS21" s="59">
        <f>SUMPRODUCT(($E$7:$E$54=AB21)*($U$7:$U$54)*($G$7:$G$54))+SUMPRODUCT(($H$7:$H$54=AB21)*($U$7:$U$54)*($F$7:$F$54))</f>
        <v>0</v>
      </c>
      <c r="AT21" s="5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Júl 2, 2018   18:00</v>
      </c>
      <c r="AZ21" s="24"/>
      <c r="BA21" s="24"/>
      <c r="BB21" s="34"/>
      <c r="BC21" s="35"/>
      <c r="BD21" s="38"/>
      <c r="BE21" s="119"/>
      <c r="BF21" s="30" t="str">
        <f>T63</f>
        <v>Belgium</v>
      </c>
      <c r="BG21" s="31">
        <v>2</v>
      </c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Ke</v>
      </c>
      <c r="C22" s="20" t="str">
        <f t="shared" si="1"/>
        <v>Jún 19, 2018</v>
      </c>
      <c r="D22" s="21">
        <f t="shared" si="8"/>
        <v>0.5</v>
      </c>
      <c r="E22" s="101" t="str">
        <f>AB52</f>
        <v>Colombia</v>
      </c>
      <c r="F22" s="22">
        <v>1</v>
      </c>
      <c r="G22" s="23">
        <v>2</v>
      </c>
      <c r="H22" s="104" t="str">
        <f>AB53</f>
        <v>Japán</v>
      </c>
      <c r="J22" s="66" t="str">
        <f>VLOOKUP(2,AA20:AK23,2,FALSE)</f>
        <v>Dánia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67">
        <f>L22*3+M22</f>
        <v>5</v>
      </c>
      <c r="R22" s="55">
        <f>DATE(2018,6,19)+TIME(1,0,0)+gmt_delta</f>
        <v>43270.5</v>
      </c>
      <c r="S22" s="62" t="str">
        <f t="shared" si="2"/>
        <v>Colombia_lose</v>
      </c>
      <c r="T22" s="62" t="str">
        <f t="shared" si="3"/>
        <v>Japán_win</v>
      </c>
      <c r="U22" s="56">
        <f t="shared" si="4"/>
        <v>0</v>
      </c>
      <c r="V22" s="55">
        <f t="shared" si="5"/>
        <v>0</v>
      </c>
      <c r="W22" s="55">
        <f t="shared" si="6"/>
        <v>0</v>
      </c>
      <c r="X22" s="55">
        <f t="shared" si="7"/>
        <v>0</v>
      </c>
      <c r="Y22" s="55">
        <f t="shared" si="9"/>
        <v>-1</v>
      </c>
      <c r="AA22" s="55">
        <f>COUNTIF(AN20:AN23,CONCATENATE("&gt;=",AN22))</f>
        <v>3</v>
      </c>
      <c r="AB22" s="56" t="str">
        <f>VLOOKUP("Peru",T,lang,FALSE)</f>
        <v>Peru</v>
      </c>
      <c r="AC22" s="55">
        <f>COUNTIF($S$7:$T$54,"=" &amp; AB22 &amp; "_win")</f>
        <v>1</v>
      </c>
      <c r="AD22" s="55">
        <f>COUNTIF($S$7:$T$54,"=" &amp; AB22 &amp; "_draw")</f>
        <v>0</v>
      </c>
      <c r="AE22" s="55">
        <f>COUNTIF($S$7:$T$54,"=" &amp; AB22 &amp; "_lose")</f>
        <v>2</v>
      </c>
      <c r="AF22" s="55">
        <f>SUMIF($E$7:$E$54,$AB22,$F$7:$F$54) + SUMIF($H$7:$H$54,$AB22,$G$7:$G$54)</f>
        <v>2</v>
      </c>
      <c r="AG22" s="55">
        <f>SUMIF($E$7:$E$54,$AB22,$G$7:$G$54) + SUMIF($H$7:$H$54,$AB22,$F$7:$F$54)</f>
        <v>2</v>
      </c>
      <c r="AH22" s="55">
        <f>(AF22-AG22)*100+AK22*10000+AF22</f>
        <v>30002</v>
      </c>
      <c r="AI22" s="55">
        <f>AF22-AG22</f>
        <v>0</v>
      </c>
      <c r="AJ22" s="55">
        <f>(AI22-AI25)/AI24</f>
        <v>0.5</v>
      </c>
      <c r="AK22" s="55">
        <f>AC22*3+AD22</f>
        <v>3</v>
      </c>
      <c r="AL22" s="55">
        <f>AP22/AP24*1000+AQ22/AQ24*100+AT22/AT24*10+AR22/AR24</f>
        <v>0</v>
      </c>
      <c r="AM22" s="55">
        <f>VLOOKUP(AB22,db_fifarank,2,FALSE)/2000000</f>
        <v>5.6400000000000005E-4</v>
      </c>
      <c r="AN22" s="56">
        <f>1000*AK22/AK24+100*AJ22+10*AF22/AF24+1*AL22/AL24+AM22</f>
        <v>488.57199257142855</v>
      </c>
      <c r="AP22" s="58">
        <f>SUMPRODUCT(($S$7:$S$54=AB22&amp;"_win")*($U$7:$U$54))+SUMPRODUCT(($T$7:$T$54=AB22&amp;"_win")*($U$7:$U$54))</f>
        <v>0</v>
      </c>
      <c r="AQ22" s="59">
        <f>SUMPRODUCT(($S$7:$S$54=AB22&amp;"_draw")*($U$7:$U$54))+SUMPRODUCT(($T$7:$T$54=AB22&amp;"_draw")*($U$7:$U$54))</f>
        <v>0</v>
      </c>
      <c r="AR22" s="59">
        <f>SUMPRODUCT(($E$7:$E$54=AB22)*($U$7:$U$54)*($F$7:$F$54))+SUMPRODUCT(($H$7:$H$54=AB22)*($U$7:$U$54)*($G$7:$G$54))</f>
        <v>0</v>
      </c>
      <c r="AS22" s="59">
        <f>SUMPRODUCT(($E$7:$E$54=AB22)*($U$7:$U$54)*($G$7:$G$54))+SUMPRODUCT(($H$7:$H$54=AB22)*($U$7:$U$54)*($F$7:$F$54))</f>
        <v>0</v>
      </c>
      <c r="AT22" s="59">
        <f>AR22-AS22</f>
        <v>0</v>
      </c>
      <c r="AY22" s="118">
        <v>54</v>
      </c>
      <c r="AZ22" s="27" t="str">
        <f>AO44</f>
        <v>Belgium</v>
      </c>
      <c r="BA22" s="28">
        <v>3</v>
      </c>
      <c r="BB22" s="29"/>
      <c r="BC22" s="39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Júl 15, 2018   15:00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Ke</v>
      </c>
      <c r="C23" s="20" t="str">
        <f t="shared" si="1"/>
        <v>Jún 19, 2018</v>
      </c>
      <c r="D23" s="21">
        <f t="shared" si="8"/>
        <v>0.75</v>
      </c>
      <c r="E23" s="101" t="str">
        <f>AB8</f>
        <v>Oroszország</v>
      </c>
      <c r="F23" s="22">
        <v>3</v>
      </c>
      <c r="G23" s="23">
        <v>1</v>
      </c>
      <c r="H23" s="104" t="str">
        <f>AB10</f>
        <v>Egyiptom</v>
      </c>
      <c r="J23" s="6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67">
        <f>L23*3+M23</f>
        <v>3</v>
      </c>
      <c r="R23" s="55">
        <f>DATE(2018,6,19)+TIME(7,0,0)+gmt_delta</f>
        <v>43270.75</v>
      </c>
      <c r="S23" s="62" t="str">
        <f t="shared" si="2"/>
        <v>Oroszország_win</v>
      </c>
      <c r="T23" s="62" t="str">
        <f t="shared" si="3"/>
        <v>Egyiptom_lose</v>
      </c>
      <c r="U23" s="56">
        <f t="shared" si="4"/>
        <v>0</v>
      </c>
      <c r="V23" s="55">
        <f t="shared" si="5"/>
        <v>0</v>
      </c>
      <c r="W23" s="55">
        <f t="shared" si="6"/>
        <v>0</v>
      </c>
      <c r="X23" s="55">
        <f t="shared" si="7"/>
        <v>0</v>
      </c>
      <c r="Y23" s="55">
        <f t="shared" si="9"/>
        <v>1</v>
      </c>
      <c r="AA23" s="55">
        <f>COUNTIF(AN20:AN23,CONCATENATE("&gt;=",AN23))</f>
        <v>2</v>
      </c>
      <c r="AB23" s="56" t="str">
        <f>VLOOKUP("Denmark",T,lang,FALSE)</f>
        <v>Dánia</v>
      </c>
      <c r="AC23" s="55">
        <f>COUNTIF($S$7:$T$54,"=" &amp; AB23 &amp; "_win")</f>
        <v>1</v>
      </c>
      <c r="AD23" s="55">
        <f>COUNTIF($S$7:$T$54,"=" &amp; AB23 &amp; "_draw")</f>
        <v>2</v>
      </c>
      <c r="AE23" s="55">
        <f>COUNTIF($S$7:$T$54,"=" &amp; AB23 &amp; "_lose")</f>
        <v>0</v>
      </c>
      <c r="AF23" s="55">
        <f>SUMIF($E$7:$E$54,$AB23,$F$7:$F$54) + SUMIF($H$7:$H$54,$AB23,$G$7:$G$54)</f>
        <v>2</v>
      </c>
      <c r="AG23" s="55">
        <f>SUMIF($E$7:$E$54,$AB23,$G$7:$G$54) + SUMIF($H$7:$H$54,$AB23,$F$7:$F$54)</f>
        <v>1</v>
      </c>
      <c r="AH23" s="55">
        <f>(AF23-AG23)*100+AK23*10000+AF23</f>
        <v>50102</v>
      </c>
      <c r="AI23" s="55">
        <f>AF23-AG23</f>
        <v>1</v>
      </c>
      <c r="AJ23" s="55">
        <f>(AI23-AI25)/AI24</f>
        <v>0.66666666666666663</v>
      </c>
      <c r="AK23" s="55">
        <f>AC23*3+AD23</f>
        <v>5</v>
      </c>
      <c r="AL23" s="55">
        <f>AP23/AP24*1000+AQ23/AQ24*100+AT23/AT24*10+AR23/AR24</f>
        <v>0</v>
      </c>
      <c r="AM23" s="55">
        <f>VLOOKUP(AB23,db_fifarank,2,FALSE)/2000000</f>
        <v>5.4949999999999997E-4</v>
      </c>
      <c r="AN23" s="56">
        <f>1000*AK23/AK24+100*AJ23+10*AF23/AF24+1*AL23/AL24+AM23</f>
        <v>790.952930452381</v>
      </c>
      <c r="AP23" s="58">
        <f>SUMPRODUCT(($S$7:$S$54=AB23&amp;"_win")*($U$7:$U$54))+SUMPRODUCT(($T$7:$T$54=AB23&amp;"_win")*($U$7:$U$54))</f>
        <v>0</v>
      </c>
      <c r="AQ23" s="59">
        <f>SUMPRODUCT(($S$7:$S$54=AB23&amp;"_draw")*($U$7:$U$54))+SUMPRODUCT(($T$7:$T$54=AB23&amp;"_draw")*($U$7:$U$54))</f>
        <v>0</v>
      </c>
      <c r="AR23" s="59">
        <f>SUMPRODUCT(($E$7:$E$54=AB23)*($U$7:$U$54)*($F$7:$F$54))+SUMPRODUCT(($H$7:$H$54=AB23)*($U$7:$U$54)*($G$7:$G$54))</f>
        <v>0</v>
      </c>
      <c r="AS23" s="59">
        <f>SUMPRODUCT(($E$7:$E$54=AB23)*($U$7:$U$54)*($G$7:$G$54))+SUMPRODUCT(($H$7:$H$54=AB23)*($U$7:$U$54)*($F$7:$F$54))</f>
        <v>0</v>
      </c>
      <c r="AT23" s="59">
        <f>AR23-AS23</f>
        <v>0</v>
      </c>
      <c r="AY23" s="119"/>
      <c r="AZ23" s="30" t="str">
        <f>AO51</f>
        <v>Japán</v>
      </c>
      <c r="BA23" s="31">
        <v>2</v>
      </c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18">
        <v>64</v>
      </c>
      <c r="BR23" s="27" t="str">
        <f>T76</f>
        <v>GY61</v>
      </c>
      <c r="BS23" s="28"/>
      <c r="BT23" s="29"/>
    </row>
    <row r="24" spans="1:72" ht="15" customHeight="1" x14ac:dyDescent="0.25">
      <c r="A24" s="18">
        <v>18</v>
      </c>
      <c r="B24" s="19" t="str">
        <f t="shared" si="0"/>
        <v>Sze</v>
      </c>
      <c r="C24" s="20" t="str">
        <f t="shared" si="1"/>
        <v>Jún 20, 2018</v>
      </c>
      <c r="D24" s="21">
        <f t="shared" si="8"/>
        <v>0.625</v>
      </c>
      <c r="E24" s="101" t="str">
        <f>AB11</f>
        <v>Uruguay</v>
      </c>
      <c r="F24" s="22">
        <v>1</v>
      </c>
      <c r="G24" s="23">
        <v>0</v>
      </c>
      <c r="H24" s="104" t="str">
        <f>AB9</f>
        <v>Szaud-Arábia</v>
      </c>
      <c r="J24" s="68" t="str">
        <f>VLOOKUP(4,AA20:AK23,2,FALSE)</f>
        <v>Ausztrália</v>
      </c>
      <c r="K24" s="69">
        <f>L24+M24+N24</f>
        <v>3</v>
      </c>
      <c r="L24" s="69">
        <f>VLOOKUP(4,AA20:AK23,3,FALSE)</f>
        <v>0</v>
      </c>
      <c r="M24" s="69">
        <f>VLOOKUP(4,AA20:AK23,4,FALSE)</f>
        <v>1</v>
      </c>
      <c r="N24" s="69">
        <f>VLOOKUP(4,AA20:AK23,5,FALSE)</f>
        <v>2</v>
      </c>
      <c r="O24" s="69" t="str">
        <f>VLOOKUP(4,AA20:AK23,6,FALSE) &amp; " - " &amp; VLOOKUP(4,AA20:AK23,7,FALSE)</f>
        <v>2 - 5</v>
      </c>
      <c r="P24" s="70">
        <f>L24*3+M24</f>
        <v>1</v>
      </c>
      <c r="R24" s="55">
        <f>DATE(2018,6,20)+TIME(4,0,0)+gmt_delta</f>
        <v>43271.625</v>
      </c>
      <c r="S24" s="62" t="str">
        <f t="shared" si="2"/>
        <v>Uruguay_win</v>
      </c>
      <c r="T24" s="62" t="str">
        <f t="shared" si="3"/>
        <v>Szaud-Arábia_lose</v>
      </c>
      <c r="U24" s="56">
        <f t="shared" si="4"/>
        <v>0</v>
      </c>
      <c r="V24" s="55">
        <f t="shared" si="5"/>
        <v>0</v>
      </c>
      <c r="W24" s="55">
        <f t="shared" si="6"/>
        <v>0</v>
      </c>
      <c r="X24" s="55">
        <f t="shared" si="7"/>
        <v>0</v>
      </c>
      <c r="Y24" s="55">
        <f t="shared" si="9"/>
        <v>1</v>
      </c>
      <c r="AC24" s="55">
        <f t="shared" ref="AC24:AL24" si="12">MAX(AC20:AC23)-MIN(AC20:AC23)+1</f>
        <v>3</v>
      </c>
      <c r="AD24" s="55">
        <f t="shared" si="12"/>
        <v>3</v>
      </c>
      <c r="AE24" s="55">
        <f t="shared" si="12"/>
        <v>3</v>
      </c>
      <c r="AF24" s="55">
        <f t="shared" si="12"/>
        <v>2</v>
      </c>
      <c r="AG24" s="55">
        <f t="shared" si="12"/>
        <v>5</v>
      </c>
      <c r="AH24" s="55">
        <f>MAX(AH20:AH23)-AH25+1</f>
        <v>60502</v>
      </c>
      <c r="AI24" s="55">
        <f>MAX(AI20:AI23)-AI25+1</f>
        <v>6</v>
      </c>
      <c r="AK24" s="55">
        <f t="shared" si="12"/>
        <v>7</v>
      </c>
      <c r="AL24" s="55">
        <f t="shared" si="12"/>
        <v>1</v>
      </c>
      <c r="AP24" s="55">
        <f>MAX(AP20:AP23)-MIN(AP20:AP23)+1</f>
        <v>1</v>
      </c>
      <c r="AQ24" s="55">
        <f>MAX(AQ20:AQ23)-MIN(AQ20:AQ23)+1</f>
        <v>1</v>
      </c>
      <c r="AR24" s="55">
        <f>MAX(AR20:AR23)-MIN(AR20:AR23)+1</f>
        <v>1</v>
      </c>
      <c r="AS24" s="55">
        <f>MAX(AS20:AS23)-MIN(AS20:AS23)+1</f>
        <v>1</v>
      </c>
      <c r="AT24" s="55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8"/>
      <c r="BQ24" s="119"/>
      <c r="BR24" s="30" t="str">
        <f>T77</f>
        <v>GY62</v>
      </c>
      <c r="BS24" s="31"/>
      <c r="BT24" s="32"/>
    </row>
    <row r="25" spans="1:72" ht="15" customHeight="1" x14ac:dyDescent="0.25">
      <c r="A25" s="18">
        <v>19</v>
      </c>
      <c r="B25" s="19" t="str">
        <f t="shared" si="0"/>
        <v>Sze</v>
      </c>
      <c r="C25" s="20" t="str">
        <f t="shared" si="1"/>
        <v>Jún 20, 2018</v>
      </c>
      <c r="D25" s="21">
        <f t="shared" si="8"/>
        <v>0.5</v>
      </c>
      <c r="E25" s="101" t="str">
        <f>AB14</f>
        <v>Portugália</v>
      </c>
      <c r="F25" s="22">
        <v>1</v>
      </c>
      <c r="G25" s="23">
        <v>0</v>
      </c>
      <c r="H25" s="104" t="str">
        <f>AB16</f>
        <v>Marokkó</v>
      </c>
      <c r="J25" s="36"/>
      <c r="K25" s="37"/>
      <c r="L25" s="37"/>
      <c r="M25" s="37"/>
      <c r="N25" s="37"/>
      <c r="O25" s="37"/>
      <c r="P25" s="37"/>
      <c r="R25" s="55">
        <f>DATE(2018,6,20)+TIME(1,0,0)+gmt_delta</f>
        <v>43271.5</v>
      </c>
      <c r="S25" s="62" t="str">
        <f t="shared" si="2"/>
        <v>Portugália_win</v>
      </c>
      <c r="T25" s="62" t="str">
        <f t="shared" si="3"/>
        <v>Marokkó_lose</v>
      </c>
      <c r="U25" s="56">
        <f t="shared" si="4"/>
        <v>0</v>
      </c>
      <c r="V25" s="55">
        <f t="shared" si="5"/>
        <v>0</v>
      </c>
      <c r="W25" s="55">
        <f t="shared" si="6"/>
        <v>0</v>
      </c>
      <c r="X25" s="55">
        <f t="shared" si="7"/>
        <v>0</v>
      </c>
      <c r="Y25" s="55">
        <f t="shared" si="9"/>
        <v>1</v>
      </c>
      <c r="AH25" s="55">
        <f>MIN(AH20:AH23)</f>
        <v>9702</v>
      </c>
      <c r="AI25" s="55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Júl 1, 2018   14:00</v>
      </c>
      <c r="AZ25" s="24"/>
      <c r="BA25" s="24"/>
      <c r="BB25" s="42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Sze</v>
      </c>
      <c r="C26" s="20" t="str">
        <f t="shared" si="1"/>
        <v>Jún 20, 2018</v>
      </c>
      <c r="D26" s="21">
        <f t="shared" si="8"/>
        <v>0.75</v>
      </c>
      <c r="E26" s="101" t="str">
        <f>AB17</f>
        <v>Irán</v>
      </c>
      <c r="F26" s="22">
        <v>0</v>
      </c>
      <c r="G26" s="23">
        <v>1</v>
      </c>
      <c r="H26" s="104" t="str">
        <f>AB15</f>
        <v>Spanyolország</v>
      </c>
      <c r="J26" s="71" t="str">
        <f>INDEX(T,9,lang) &amp; " " &amp; "D"</f>
        <v>Csoport D</v>
      </c>
      <c r="K26" s="72" t="str">
        <f>INDEX(T,10,lang)</f>
        <v>M</v>
      </c>
      <c r="L26" s="72" t="str">
        <f>INDEX(T,11,lang)</f>
        <v>GY</v>
      </c>
      <c r="M26" s="72" t="str">
        <f>INDEX(T,12,lang)</f>
        <v>D</v>
      </c>
      <c r="N26" s="72" t="str">
        <f>INDEX(T,13,lang)</f>
        <v>V</v>
      </c>
      <c r="O26" s="72" t="str">
        <f>INDEX(T,14,lang)</f>
        <v>Gólkül.</v>
      </c>
      <c r="P26" s="73" t="str">
        <f>INDEX(T,15,lang)</f>
        <v>PNT</v>
      </c>
      <c r="R26" s="55">
        <f>DATE(2018,6,20)+TIME(7,0,0)+gmt_delta</f>
        <v>43271.75</v>
      </c>
      <c r="S26" s="62" t="str">
        <f t="shared" si="2"/>
        <v>Irán_lose</v>
      </c>
      <c r="T26" s="62" t="str">
        <f t="shared" si="3"/>
        <v>Spanyolország_win</v>
      </c>
      <c r="U26" s="56">
        <f t="shared" si="4"/>
        <v>0</v>
      </c>
      <c r="V26" s="55">
        <f t="shared" si="5"/>
        <v>0</v>
      </c>
      <c r="W26" s="55">
        <f t="shared" si="6"/>
        <v>0</v>
      </c>
      <c r="X26" s="55">
        <f t="shared" si="7"/>
        <v>0</v>
      </c>
      <c r="Y26" s="55">
        <f t="shared" si="9"/>
        <v>-1</v>
      </c>
      <c r="AA26" s="55">
        <f>COUNTIF(AN26:AN29,CONCATENATE("&gt;=",AN26))</f>
        <v>2</v>
      </c>
      <c r="AB26" s="56" t="str">
        <f>VLOOKUP("Argentina",T,lang,FALSE)</f>
        <v>Argentína</v>
      </c>
      <c r="AC26" s="55">
        <f>COUNTIF($S$7:$T$54,"=" &amp; AB26 &amp; "_win")</f>
        <v>1</v>
      </c>
      <c r="AD26" s="55">
        <f>COUNTIF($S$7:$T$54,"=" &amp; AB26 &amp; "_draw")</f>
        <v>1</v>
      </c>
      <c r="AE26" s="55">
        <f>COUNTIF($S$7:$T$54,"=" &amp; AB26 &amp; "_lose")</f>
        <v>1</v>
      </c>
      <c r="AF26" s="55">
        <f>SUMIF($E$7:$E$54,$AB26,$F$7:$F$54) + SUMIF($H$7:$H$54,$AB26,$G$7:$G$54)</f>
        <v>3</v>
      </c>
      <c r="AG26" s="55">
        <f>SUMIF($E$7:$E$54,$AB26,$G$7:$G$54) + SUMIF($H$7:$H$54,$AB26,$F$7:$F$54)</f>
        <v>5</v>
      </c>
      <c r="AH26" s="55">
        <f>(AF26-AG26)*100+AK26*10000+AF26</f>
        <v>39803</v>
      </c>
      <c r="AI26" s="55">
        <f>AF26-AG26</f>
        <v>-2</v>
      </c>
      <c r="AJ26" s="55">
        <f>(AI26-AI31)/AI30</f>
        <v>0.1</v>
      </c>
      <c r="AK26" s="55">
        <f>AC26*3+AD26</f>
        <v>4</v>
      </c>
      <c r="AL26" s="55">
        <f>AP26/AP30*1000+AQ26/AQ30*100+AT26/AT30*10+AR26/AR30</f>
        <v>0</v>
      </c>
      <c r="AM26" s="55">
        <f>VLOOKUP(AB26,db_fifarank,2,FALSE)/2000000</f>
        <v>6.7400000000000001E-4</v>
      </c>
      <c r="AN26" s="56">
        <f>1000*AK26/AK30+100*AJ26+10*AF26/AF30+1*AL26/AL30+AM26</f>
        <v>459.44511844444446</v>
      </c>
      <c r="AO26" s="57" t="str">
        <f>IF(SUM(AC26:AE29)=12,J27,INDEX(T,76,lang))</f>
        <v>Horvátország</v>
      </c>
      <c r="AP26" s="58">
        <f>SUMPRODUCT(($S$7:$S$54=AB26&amp;"_win")*($U$7:$U$54))+SUMPRODUCT(($T$7:$T$54=AB26&amp;"_win")*($U$7:$U$54))</f>
        <v>0</v>
      </c>
      <c r="AQ26" s="59">
        <f>SUMPRODUCT(($S$7:$S$54=AB26&amp;"_draw")*($U$7:$U$54))+SUMPRODUCT(($T$7:$T$54=AB26&amp;"_draw")*($U$7:$U$54))</f>
        <v>0</v>
      </c>
      <c r="AR26" s="59">
        <f>SUMPRODUCT(($E$7:$E$54=AB26)*($U$7:$U$54)*($F$7:$F$54))+SUMPRODUCT(($H$7:$H$54=AB26)*($U$7:$U$54)*($G$7:$G$54))</f>
        <v>0</v>
      </c>
      <c r="AS26" s="59">
        <f>SUMPRODUCT(($E$7:$E$54=AB26)*($U$7:$U$54)*($G$7:$G$54))+SUMPRODUCT(($H$7:$H$54=AB26)*($U$7:$U$54)*($F$7:$F$54))</f>
        <v>0</v>
      </c>
      <c r="AT26" s="59">
        <f>AR26-AS26</f>
        <v>0</v>
      </c>
      <c r="AY26" s="118">
        <v>51</v>
      </c>
      <c r="AZ26" s="27" t="str">
        <f>AO14</f>
        <v>Spanyolország</v>
      </c>
      <c r="BA26" s="28">
        <v>1</v>
      </c>
      <c r="BB26" s="29">
        <v>3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Csü</v>
      </c>
      <c r="C27" s="20" t="str">
        <f t="shared" si="1"/>
        <v>Jún 21, 2018</v>
      </c>
      <c r="D27" s="21">
        <f t="shared" si="8"/>
        <v>0.625</v>
      </c>
      <c r="E27" s="101" t="str">
        <f>AB20</f>
        <v>Franciaország</v>
      </c>
      <c r="F27" s="22">
        <v>1</v>
      </c>
      <c r="G27" s="23">
        <v>0</v>
      </c>
      <c r="H27" s="104" t="str">
        <f>AB22</f>
        <v>Peru</v>
      </c>
      <c r="J27" s="63" t="str">
        <f>VLOOKUP(1,AA26:AK29,2,FALSE)</f>
        <v>Horvátország</v>
      </c>
      <c r="K27" s="64">
        <f>L27+M27+N27</f>
        <v>3</v>
      </c>
      <c r="L27" s="64">
        <f>VLOOKUP(1,AA26:AK29,3,FALSE)</f>
        <v>3</v>
      </c>
      <c r="M27" s="64">
        <f>VLOOKUP(1,AA26:AK29,4,FALSE)</f>
        <v>0</v>
      </c>
      <c r="N27" s="64">
        <f>VLOOKUP(1,AA26:AK29,5,FALSE)</f>
        <v>0</v>
      </c>
      <c r="O27" s="64" t="str">
        <f>VLOOKUP(1,AA26:AK29,6,FALSE) &amp; " - " &amp; VLOOKUP(1,AA26:AK29,7,FALSE)</f>
        <v>7 - 1</v>
      </c>
      <c r="P27" s="65">
        <f>L27*3+M27</f>
        <v>9</v>
      </c>
      <c r="R27" s="55">
        <f>DATE(2018,6,21)+TIME(4,0,0)+gmt_delta</f>
        <v>43272.625</v>
      </c>
      <c r="S27" s="62" t="str">
        <f t="shared" si="2"/>
        <v>Franciaország_win</v>
      </c>
      <c r="T27" s="62" t="str">
        <f t="shared" si="3"/>
        <v>Peru_lose</v>
      </c>
      <c r="U27" s="56">
        <f t="shared" si="4"/>
        <v>0</v>
      </c>
      <c r="V27" s="55">
        <f t="shared" si="5"/>
        <v>0</v>
      </c>
      <c r="W27" s="55">
        <f t="shared" si="6"/>
        <v>0</v>
      </c>
      <c r="X27" s="55">
        <f t="shared" si="7"/>
        <v>0</v>
      </c>
      <c r="Y27" s="55">
        <f t="shared" si="9"/>
        <v>1</v>
      </c>
      <c r="AA27" s="55">
        <f>COUNTIF(AN26:AN29,CONCATENATE("&gt;=",AN27))</f>
        <v>4</v>
      </c>
      <c r="AB27" s="56" t="str">
        <f>VLOOKUP("Iceland",T,lang,FALSE)</f>
        <v>Izland</v>
      </c>
      <c r="AC27" s="55">
        <f>COUNTIF($S$7:$T$54,"=" &amp; AB27 &amp; "_win")</f>
        <v>0</v>
      </c>
      <c r="AD27" s="55">
        <f>COUNTIF($S$7:$T$54,"=" &amp; AB27 &amp; "_draw")</f>
        <v>1</v>
      </c>
      <c r="AE27" s="55">
        <f>COUNTIF($S$7:$T$54,"=" &amp; AB27 &amp; "_lose")</f>
        <v>2</v>
      </c>
      <c r="AF27" s="55">
        <f>SUMIF($E$7:$E$54,$AB27,$F$7:$F$54) + SUMIF($H$7:$H$54,$AB27,$G$7:$G$54)</f>
        <v>2</v>
      </c>
      <c r="AG27" s="55">
        <f>SUMIF($E$7:$E$54,$AB27,$G$7:$G$54) + SUMIF($H$7:$H$54,$AB27,$F$7:$F$54)</f>
        <v>5</v>
      </c>
      <c r="AH27" s="55">
        <f>(AF27-AG27)*100+AK27*10000+AF27</f>
        <v>9702</v>
      </c>
      <c r="AI27" s="55">
        <f>AF27-AG27</f>
        <v>-3</v>
      </c>
      <c r="AJ27" s="55">
        <f>(AI27-AI31)/AI30</f>
        <v>0</v>
      </c>
      <c r="AK27" s="55">
        <f>AC27*3+AD27</f>
        <v>1</v>
      </c>
      <c r="AL27" s="55">
        <f>AP27/AP30*1000+AQ27/AQ30*100+AT27/AT30*10+AR27/AR30</f>
        <v>0</v>
      </c>
      <c r="AM27" s="55">
        <f>VLOOKUP(AB27,db_fifarank,2,FALSE)/2000000</f>
        <v>4.55E-4</v>
      </c>
      <c r="AN27" s="56">
        <f>1000*AK27/AK30+100*AJ27+10*AF27/AF30+1*AL27/AL30+AM27</f>
        <v>114.44489944444445</v>
      </c>
      <c r="AO27" s="57" t="str">
        <f>IF(SUM(AC26:AE29)=12,J28,INDEX(T,77,lang))</f>
        <v>Argentína</v>
      </c>
      <c r="AP27" s="58">
        <f>SUMPRODUCT(($S$7:$S$54=AB27&amp;"_win")*($U$7:$U$54))+SUMPRODUCT(($T$7:$T$54=AB27&amp;"_win")*($U$7:$U$54))</f>
        <v>0</v>
      </c>
      <c r="AQ27" s="59">
        <f>SUMPRODUCT(($S$7:$S$54=AB27&amp;"_draw")*($U$7:$U$54))+SUMPRODUCT(($T$7:$T$54=AB27&amp;"_draw")*($U$7:$U$54))</f>
        <v>0</v>
      </c>
      <c r="AR27" s="59">
        <f>SUMPRODUCT(($E$7:$E$54=AB27)*($U$7:$U$54)*($F$7:$F$54))+SUMPRODUCT(($H$7:$H$54=AB27)*($U$7:$U$54)*($G$7:$G$54))</f>
        <v>0</v>
      </c>
      <c r="AS27" s="59">
        <f>SUMPRODUCT(($E$7:$E$54=AB27)*($U$7:$U$54)*($G$7:$G$54))+SUMPRODUCT(($H$7:$H$54=AB27)*($U$7:$U$54)*($F$7:$F$54))</f>
        <v>0</v>
      </c>
      <c r="AT27" s="59">
        <f>AR27-AS27</f>
        <v>0</v>
      </c>
      <c r="AY27" s="119"/>
      <c r="AZ27" s="30" t="str">
        <f>AO9</f>
        <v>Oroszország</v>
      </c>
      <c r="BA27" s="31">
        <v>1</v>
      </c>
      <c r="BB27" s="32">
        <v>4</v>
      </c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Júl 7, 2018   18:00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Csü</v>
      </c>
      <c r="C28" s="20" t="str">
        <f t="shared" si="1"/>
        <v>Jún 21, 2018</v>
      </c>
      <c r="D28" s="21">
        <f t="shared" si="8"/>
        <v>0.5</v>
      </c>
      <c r="E28" s="101" t="str">
        <f>AB23</f>
        <v>Dánia</v>
      </c>
      <c r="F28" s="22">
        <v>1</v>
      </c>
      <c r="G28" s="23">
        <v>1</v>
      </c>
      <c r="H28" s="104" t="str">
        <f>AB21</f>
        <v>Ausztrália</v>
      </c>
      <c r="J28" s="66" t="str">
        <f>VLOOKUP(2,AA26:AK29,2,FALSE)</f>
        <v>Argentína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67">
        <f>L28*3+M28</f>
        <v>4</v>
      </c>
      <c r="R28" s="55">
        <f>DATE(2018,6,21)+TIME(1,0,0)+gmt_delta</f>
        <v>43272.5</v>
      </c>
      <c r="S28" s="62" t="str">
        <f t="shared" si="2"/>
        <v>Dánia_draw</v>
      </c>
      <c r="T28" s="62" t="str">
        <f t="shared" si="3"/>
        <v>Ausztrália_draw</v>
      </c>
      <c r="U28" s="56">
        <f t="shared" si="4"/>
        <v>0</v>
      </c>
      <c r="V28" s="55">
        <f t="shared" si="5"/>
        <v>0</v>
      </c>
      <c r="W28" s="55">
        <f t="shared" si="6"/>
        <v>0</v>
      </c>
      <c r="X28" s="55">
        <f t="shared" si="7"/>
        <v>0</v>
      </c>
      <c r="Y28" s="55">
        <f t="shared" si="9"/>
        <v>0</v>
      </c>
      <c r="AA28" s="55">
        <f>COUNTIF(AN26:AN29,CONCATENATE("&gt;=",AN28))</f>
        <v>1</v>
      </c>
      <c r="AB28" s="56" t="str">
        <f>VLOOKUP("Croatia",T,lang,FALSE)</f>
        <v>Horvátország</v>
      </c>
      <c r="AC28" s="55">
        <f>COUNTIF($S$7:$T$54,"=" &amp; AB28 &amp; "_win")</f>
        <v>3</v>
      </c>
      <c r="AD28" s="55">
        <f>COUNTIF($S$7:$T$54,"=" &amp; AB28 &amp; "_draw")</f>
        <v>0</v>
      </c>
      <c r="AE28" s="55">
        <f>COUNTIF($S$7:$T$54,"=" &amp; AB28 &amp; "_lose")</f>
        <v>0</v>
      </c>
      <c r="AF28" s="55">
        <f>SUMIF($E$7:$E$54,$AB28,$F$7:$F$54) + SUMIF($H$7:$H$54,$AB28,$G$7:$G$54)</f>
        <v>7</v>
      </c>
      <c r="AG28" s="55">
        <f>SUMIF($E$7:$E$54,$AB28,$G$7:$G$54) + SUMIF($H$7:$H$54,$AB28,$F$7:$F$54)</f>
        <v>1</v>
      </c>
      <c r="AH28" s="55">
        <f>(AF28-AG28)*100+AK28*10000+AF28</f>
        <v>90607</v>
      </c>
      <c r="AI28" s="55">
        <f>AF28-AG28</f>
        <v>6</v>
      </c>
      <c r="AJ28" s="55">
        <f>(AI28-AI31)/AI30</f>
        <v>0.9</v>
      </c>
      <c r="AK28" s="55">
        <f>AC28*3+AD28</f>
        <v>9</v>
      </c>
      <c r="AL28" s="55">
        <f>AP28/AP30*1000+AQ28/AQ30*100+AT28/AT30*10+AR28/AR30</f>
        <v>0</v>
      </c>
      <c r="AM28" s="55">
        <f>VLOOKUP(AB28,db_fifarank,2,FALSE)/2000000</f>
        <v>5.0900000000000001E-4</v>
      </c>
      <c r="AN28" s="56">
        <f>1000*AK28/AK30+100*AJ28+10*AF28/AF30+1*AL28/AL30+AM28</f>
        <v>1101.6671756666667</v>
      </c>
      <c r="AP28" s="58">
        <f>SUMPRODUCT(($S$7:$S$54=AB28&amp;"_win")*($U$7:$U$54))+SUMPRODUCT(($T$7:$T$54=AB28&amp;"_win")*($U$7:$U$54))</f>
        <v>0</v>
      </c>
      <c r="AQ28" s="59">
        <f>SUMPRODUCT(($S$7:$S$54=AB28&amp;"_draw")*($U$7:$U$54))+SUMPRODUCT(($T$7:$T$54=AB28&amp;"_draw")*($U$7:$U$54))</f>
        <v>0</v>
      </c>
      <c r="AR28" s="59">
        <f>SUMPRODUCT(($E$7:$E$54=AB28)*($U$7:$U$54)*($F$7:$F$54))+SUMPRODUCT(($H$7:$H$54=AB28)*($U$7:$U$54)*($G$7:$G$54))</f>
        <v>0</v>
      </c>
      <c r="AS28" s="59">
        <f>SUMPRODUCT(($E$7:$E$54=AB28)*($U$7:$U$54)*($G$7:$G$54))+SUMPRODUCT(($H$7:$H$54=AB28)*($U$7:$U$54)*($F$7:$F$54))</f>
        <v>0</v>
      </c>
      <c r="AT28" s="59">
        <f>AR28-AS28</f>
        <v>0</v>
      </c>
      <c r="AY28" s="24"/>
      <c r="AZ28" s="24"/>
      <c r="BA28" s="24"/>
      <c r="BB28" s="24"/>
      <c r="BC28" s="35"/>
      <c r="BD28" s="24"/>
      <c r="BE28" s="118">
        <v>59</v>
      </c>
      <c r="BF28" s="27" t="str">
        <f>T60</f>
        <v>Oroszország</v>
      </c>
      <c r="BG28" s="28">
        <v>2</v>
      </c>
      <c r="BH28" s="29">
        <v>3</v>
      </c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Csü</v>
      </c>
      <c r="C29" s="20" t="str">
        <f t="shared" si="1"/>
        <v>Jún 21, 2018</v>
      </c>
      <c r="D29" s="21">
        <f t="shared" si="8"/>
        <v>0.75</v>
      </c>
      <c r="E29" s="101" t="str">
        <f>AB26</f>
        <v>Argentína</v>
      </c>
      <c r="F29" s="22">
        <v>0</v>
      </c>
      <c r="G29" s="23">
        <v>3</v>
      </c>
      <c r="H29" s="104" t="str">
        <f>AB28</f>
        <v>Horvátország</v>
      </c>
      <c r="J29" s="66" t="str">
        <f>VLOOKUP(3,AA26:AK29,2,FALSE)</f>
        <v>Nigéria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67">
        <f>L29*3+M29</f>
        <v>3</v>
      </c>
      <c r="R29" s="55">
        <f>DATE(2018,6,21)+TIME(7,0,0)+gmt_delta</f>
        <v>43272.75</v>
      </c>
      <c r="S29" s="62" t="str">
        <f t="shared" si="2"/>
        <v>Argentína_lose</v>
      </c>
      <c r="T29" s="62" t="str">
        <f t="shared" si="3"/>
        <v>Horvátország_win</v>
      </c>
      <c r="U29" s="56">
        <f t="shared" si="4"/>
        <v>0</v>
      </c>
      <c r="V29" s="55">
        <f t="shared" si="5"/>
        <v>0</v>
      </c>
      <c r="W29" s="55">
        <f t="shared" si="6"/>
        <v>0</v>
      </c>
      <c r="X29" s="55">
        <f t="shared" si="7"/>
        <v>1</v>
      </c>
      <c r="Y29" s="55">
        <f t="shared" si="9"/>
        <v>-1</v>
      </c>
      <c r="AA29" s="55">
        <f>COUNTIF(AN26:AN29,CONCATENATE("&gt;=",AN29))</f>
        <v>3</v>
      </c>
      <c r="AB29" s="56" t="str">
        <f>VLOOKUP("Nigeria",T,lang,FALSE)</f>
        <v>Nigéria</v>
      </c>
      <c r="AC29" s="55">
        <f>COUNTIF($S$7:$T$54,"=" &amp; AB29 &amp; "_win")</f>
        <v>1</v>
      </c>
      <c r="AD29" s="55">
        <f>COUNTIF($S$7:$T$54,"=" &amp; AB29 &amp; "_draw")</f>
        <v>0</v>
      </c>
      <c r="AE29" s="55">
        <f>COUNTIF($S$7:$T$54,"=" &amp; AB29 &amp; "_lose")</f>
        <v>2</v>
      </c>
      <c r="AF29" s="55">
        <f>SUMIF($E$7:$E$54,$AB29,$F$7:$F$54) + SUMIF($H$7:$H$54,$AB29,$G$7:$G$54)</f>
        <v>3</v>
      </c>
      <c r="AG29" s="55">
        <f>SUMIF($E$7:$E$54,$AB29,$G$7:$G$54) + SUMIF($H$7:$H$54,$AB29,$F$7:$F$54)</f>
        <v>4</v>
      </c>
      <c r="AH29" s="55">
        <f>(AF29-AG29)*100+AK29*10000+AF29</f>
        <v>29903</v>
      </c>
      <c r="AI29" s="55">
        <f>AF29-AG29</f>
        <v>-1</v>
      </c>
      <c r="AJ29" s="55">
        <f>(AI29-AI31)/AI30</f>
        <v>0.2</v>
      </c>
      <c r="AK29" s="55">
        <f>AC29*3+AD29</f>
        <v>3</v>
      </c>
      <c r="AL29" s="55">
        <f>AP29/AP30*1000+AQ29/AQ30*100+AT29/AT30*10+AR29/AR30</f>
        <v>0</v>
      </c>
      <c r="AM29" s="55">
        <f>VLOOKUP(AB29,db_fifarank,2,FALSE)/2000000</f>
        <v>3.2000000000000003E-4</v>
      </c>
      <c r="AN29" s="56">
        <f>1000*AK29/AK30+100*AJ29+10*AF29/AF30+1*AL29/AL30+AM29</f>
        <v>358.3336533333333</v>
      </c>
      <c r="AP29" s="58">
        <f>SUMPRODUCT(($S$7:$S$54=AB29&amp;"_win")*($U$7:$U$54))+SUMPRODUCT(($T$7:$T$54=AB29&amp;"_win")*($U$7:$U$54))</f>
        <v>0</v>
      </c>
      <c r="AQ29" s="59">
        <f>SUMPRODUCT(($S$7:$S$54=AB29&amp;"_draw")*($U$7:$U$54))+SUMPRODUCT(($T$7:$T$54=AB29&amp;"_draw")*($U$7:$U$54))</f>
        <v>0</v>
      </c>
      <c r="AR29" s="59">
        <f>SUMPRODUCT(($E$7:$E$54=AB29)*($U$7:$U$54)*($F$7:$F$54))+SUMPRODUCT(($H$7:$H$54=AB29)*($U$7:$U$54)*($G$7:$G$54))</f>
        <v>0</v>
      </c>
      <c r="AS29" s="59">
        <f>SUMPRODUCT(($E$7:$E$54=AB29)*($U$7:$U$54)*($G$7:$G$54))+SUMPRODUCT(($H$7:$H$54=AB29)*($U$7:$U$54)*($F$7:$F$54))</f>
        <v>0</v>
      </c>
      <c r="AT29" s="5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Júl 1, 2018   18:00</v>
      </c>
      <c r="AZ29" s="24"/>
      <c r="BA29" s="24"/>
      <c r="BB29" s="34"/>
      <c r="BC29" s="35"/>
      <c r="BD29" s="38"/>
      <c r="BE29" s="119"/>
      <c r="BF29" s="30" t="str">
        <f>T61</f>
        <v>Horvátország</v>
      </c>
      <c r="BG29" s="31">
        <v>2</v>
      </c>
      <c r="BH29" s="32">
        <v>4</v>
      </c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Pé</v>
      </c>
      <c r="C30" s="20" t="str">
        <f t="shared" si="1"/>
        <v>Jún 22, 2018</v>
      </c>
      <c r="D30" s="21">
        <f t="shared" si="8"/>
        <v>0.625</v>
      </c>
      <c r="E30" s="101" t="str">
        <f>AB29</f>
        <v>Nigéria</v>
      </c>
      <c r="F30" s="22">
        <v>2</v>
      </c>
      <c r="G30" s="23">
        <v>0</v>
      </c>
      <c r="H30" s="104" t="str">
        <f>AB27</f>
        <v>Izland</v>
      </c>
      <c r="J30" s="68" t="str">
        <f>VLOOKUP(4,AA26:AK29,2,FALSE)</f>
        <v>Izland</v>
      </c>
      <c r="K30" s="69">
        <f>L30+M30+N30</f>
        <v>3</v>
      </c>
      <c r="L30" s="69">
        <f>VLOOKUP(4,AA26:AK29,3,FALSE)</f>
        <v>0</v>
      </c>
      <c r="M30" s="69">
        <f>VLOOKUP(4,AA26:AK29,4,FALSE)</f>
        <v>1</v>
      </c>
      <c r="N30" s="69">
        <f>VLOOKUP(4,AA26:AK29,5,FALSE)</f>
        <v>2</v>
      </c>
      <c r="O30" s="69" t="str">
        <f>VLOOKUP(4,AA26:AK29,6,FALSE) &amp; " - " &amp; VLOOKUP(4,AA26:AK29,7,FALSE)</f>
        <v>2 - 5</v>
      </c>
      <c r="P30" s="70">
        <f>L30*3+M30</f>
        <v>1</v>
      </c>
      <c r="R30" s="55">
        <f>DATE(2018,6,22)+TIME(4,0,0)+gmt_delta</f>
        <v>43273.625</v>
      </c>
      <c r="S30" s="62" t="str">
        <f t="shared" si="2"/>
        <v>Nigéria_win</v>
      </c>
      <c r="T30" s="62" t="str">
        <f t="shared" si="3"/>
        <v>Izland_lose</v>
      </c>
      <c r="U30" s="56">
        <f t="shared" si="4"/>
        <v>0</v>
      </c>
      <c r="V30" s="55">
        <f t="shared" si="5"/>
        <v>0</v>
      </c>
      <c r="W30" s="55">
        <f t="shared" si="6"/>
        <v>0</v>
      </c>
      <c r="X30" s="55">
        <f t="shared" si="7"/>
        <v>0</v>
      </c>
      <c r="Y30" s="55">
        <f t="shared" si="9"/>
        <v>1</v>
      </c>
      <c r="AC30" s="55">
        <f t="shared" ref="AC30:AL30" si="13">MAX(AC26:AC29)-MIN(AC26:AC29)+1</f>
        <v>4</v>
      </c>
      <c r="AD30" s="55">
        <f t="shared" si="13"/>
        <v>2</v>
      </c>
      <c r="AE30" s="55">
        <f t="shared" si="13"/>
        <v>3</v>
      </c>
      <c r="AF30" s="55">
        <f t="shared" si="13"/>
        <v>6</v>
      </c>
      <c r="AG30" s="55">
        <f t="shared" si="13"/>
        <v>5</v>
      </c>
      <c r="AH30" s="55">
        <f>MAX(AH26:AH29)-AH31+1</f>
        <v>80906</v>
      </c>
      <c r="AI30" s="55">
        <f>MAX(AI26:AI29)-AI31+1</f>
        <v>10</v>
      </c>
      <c r="AK30" s="55">
        <f t="shared" si="13"/>
        <v>9</v>
      </c>
      <c r="AL30" s="55">
        <f t="shared" si="13"/>
        <v>1</v>
      </c>
      <c r="AP30" s="55">
        <f>MAX(AP26:AP29)-MIN(AP26:AP29)+1</f>
        <v>1</v>
      </c>
      <c r="AQ30" s="55">
        <f>MAX(AQ26:AQ29)-MIN(AQ26:AQ29)+1</f>
        <v>1</v>
      </c>
      <c r="AR30" s="55">
        <f>MAX(AR26:AR29)-MIN(AR26:AR29)+1</f>
        <v>1</v>
      </c>
      <c r="AS30" s="55">
        <f>MAX(AS26:AS29)-MIN(AS26:AS29)+1</f>
        <v>1</v>
      </c>
      <c r="AT30" s="55">
        <f>MAX(AT26:AT29)-MIN(AT26:AT29)+1</f>
        <v>1</v>
      </c>
      <c r="AY30" s="118">
        <v>52</v>
      </c>
      <c r="AZ30" s="27" t="str">
        <f>AO26</f>
        <v>Horvátország</v>
      </c>
      <c r="BA30" s="28">
        <v>1</v>
      </c>
      <c r="BB30" s="29">
        <v>3</v>
      </c>
      <c r="BC30" s="39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Pé</v>
      </c>
      <c r="C31" s="20" t="str">
        <f t="shared" si="1"/>
        <v>Jún 22, 2018</v>
      </c>
      <c r="D31" s="21">
        <f t="shared" si="8"/>
        <v>0.5</v>
      </c>
      <c r="E31" s="101" t="str">
        <f>AB32</f>
        <v>Brazília</v>
      </c>
      <c r="F31" s="22">
        <v>2</v>
      </c>
      <c r="G31" s="23">
        <v>0</v>
      </c>
      <c r="H31" s="104" t="str">
        <f>AB34</f>
        <v>Costa Rica</v>
      </c>
      <c r="R31" s="55">
        <f>DATE(2018,6,22)+TIME(1,0,0)+gmt_delta</f>
        <v>43273.5</v>
      </c>
      <c r="S31" s="62" t="str">
        <f t="shared" si="2"/>
        <v>Brazília_win</v>
      </c>
      <c r="T31" s="62" t="str">
        <f t="shared" si="3"/>
        <v>Costa Rica_lose</v>
      </c>
      <c r="U31" s="56">
        <f t="shared" si="4"/>
        <v>0</v>
      </c>
      <c r="V31" s="55">
        <f t="shared" si="5"/>
        <v>0</v>
      </c>
      <c r="W31" s="55">
        <f t="shared" si="6"/>
        <v>0</v>
      </c>
      <c r="X31" s="55">
        <f t="shared" si="7"/>
        <v>0</v>
      </c>
      <c r="Y31" s="55">
        <f t="shared" si="9"/>
        <v>1</v>
      </c>
      <c r="AH31" s="55">
        <f>MIN(AH26:AH29)</f>
        <v>9702</v>
      </c>
      <c r="AI31" s="55">
        <f>MIN(AI26:AI29)</f>
        <v>-3</v>
      </c>
      <c r="AY31" s="119"/>
      <c r="AZ31" s="30" t="str">
        <f>AO21</f>
        <v>Dánia</v>
      </c>
      <c r="BA31" s="31">
        <v>1</v>
      </c>
      <c r="BB31" s="32">
        <v>2</v>
      </c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Júl 11, 2018   18:00</v>
      </c>
      <c r="BL31" s="24"/>
      <c r="BM31" s="24"/>
      <c r="BN31" s="34"/>
      <c r="BO31" s="35"/>
      <c r="BP31" s="40"/>
      <c r="BQ31" s="124" t="str">
        <f>INDEX(T,7,lang)</f>
        <v>Bronzmeccs</v>
      </c>
      <c r="BR31" s="125"/>
      <c r="BS31" s="125"/>
      <c r="BT31" s="126"/>
    </row>
    <row r="32" spans="1:72" ht="15" customHeight="1" x14ac:dyDescent="0.25">
      <c r="A32" s="18">
        <v>26</v>
      </c>
      <c r="B32" s="19" t="str">
        <f t="shared" si="0"/>
        <v>Pé</v>
      </c>
      <c r="C32" s="20" t="str">
        <f t="shared" si="1"/>
        <v>Jún 22, 2018</v>
      </c>
      <c r="D32" s="21">
        <f t="shared" si="8"/>
        <v>0.75</v>
      </c>
      <c r="E32" s="101" t="str">
        <f>AB35</f>
        <v>Szerbia</v>
      </c>
      <c r="F32" s="22">
        <v>1</v>
      </c>
      <c r="G32" s="23">
        <v>2</v>
      </c>
      <c r="H32" s="104" t="str">
        <f>AB33</f>
        <v>Svájc</v>
      </c>
      <c r="J32" s="71" t="str">
        <f>INDEX(T,9,lang) &amp; " " &amp; "E"</f>
        <v>Csoport E</v>
      </c>
      <c r="K32" s="72" t="str">
        <f>INDEX(T,10,lang)</f>
        <v>M</v>
      </c>
      <c r="L32" s="72" t="str">
        <f>INDEX(T,11,lang)</f>
        <v>GY</v>
      </c>
      <c r="M32" s="72" t="str">
        <f>INDEX(T,12,lang)</f>
        <v>D</v>
      </c>
      <c r="N32" s="72" t="str">
        <f>INDEX(T,13,lang)</f>
        <v>V</v>
      </c>
      <c r="O32" s="72" t="str">
        <f>INDEX(T,14,lang)</f>
        <v>Gólkül.</v>
      </c>
      <c r="P32" s="73" t="str">
        <f>INDEX(T,15,lang)</f>
        <v>PNT</v>
      </c>
      <c r="R32" s="55">
        <f>DATE(2018,6,22)+TIME(7,0,0)+gmt_delta</f>
        <v>43273.75</v>
      </c>
      <c r="S32" s="62" t="str">
        <f t="shared" si="2"/>
        <v>Szerbia_lose</v>
      </c>
      <c r="T32" s="62" t="str">
        <f t="shared" si="3"/>
        <v>Svájc_win</v>
      </c>
      <c r="U32" s="56">
        <f t="shared" si="4"/>
        <v>0</v>
      </c>
      <c r="V32" s="55">
        <f t="shared" si="5"/>
        <v>0</v>
      </c>
      <c r="W32" s="55">
        <f t="shared" si="6"/>
        <v>0</v>
      </c>
      <c r="X32" s="55">
        <f t="shared" si="7"/>
        <v>0</v>
      </c>
      <c r="Y32" s="55">
        <f t="shared" si="9"/>
        <v>-1</v>
      </c>
      <c r="AA32" s="55">
        <f>COUNTIF(AN32:AN35,CONCATENATE("&gt;=",AN32))</f>
        <v>1</v>
      </c>
      <c r="AB32" s="56" t="str">
        <f>VLOOKUP("Brazil",T,lang,FALSE)</f>
        <v>Brazília</v>
      </c>
      <c r="AC32" s="55">
        <f>COUNTIF($S$7:$T$54,"=" &amp; AB32 &amp; "_win")</f>
        <v>2</v>
      </c>
      <c r="AD32" s="55">
        <f>COUNTIF($S$7:$T$54,"=" &amp; AB32 &amp; "_draw")</f>
        <v>1</v>
      </c>
      <c r="AE32" s="55">
        <f>COUNTIF($S$7:$T$54,"=" &amp; AB32 &amp; "_lose")</f>
        <v>0</v>
      </c>
      <c r="AF32" s="55">
        <f>SUMIF($E$7:$E$54,$AB32,$F$7:$F$54) + SUMIF($H$7:$H$54,$AB32,$G$7:$G$54)</f>
        <v>5</v>
      </c>
      <c r="AG32" s="55">
        <f>SUMIF($E$7:$E$54,$AB32,$G$7:$G$54) + SUMIF($H$7:$H$54,$AB32,$F$7:$F$54)</f>
        <v>1</v>
      </c>
      <c r="AH32" s="55">
        <f>(AF32-AG32)*100+AK32*10000+AF32</f>
        <v>70405</v>
      </c>
      <c r="AI32" s="55">
        <f>AF32-AG32</f>
        <v>4</v>
      </c>
      <c r="AJ32" s="55">
        <f>(AI32-AI37)/AI36</f>
        <v>0.875</v>
      </c>
      <c r="AK32" s="55">
        <f>AC32*3+AD32</f>
        <v>7</v>
      </c>
      <c r="AL32" s="55">
        <f>AP32/AP36*1000+AQ32/AQ36*100+AT32/AT36*10+AR32/AR36</f>
        <v>0</v>
      </c>
      <c r="AM32" s="55">
        <f>VLOOKUP(AB32,db_fifarank,2,FALSE)/2000000</f>
        <v>7.4149999999999997E-4</v>
      </c>
      <c r="AN32" s="56">
        <f>1000*AK32/AK36+100*AJ32+10*AF32/AF36+1*AL32/AL36+AM32</f>
        <v>1100.0007415</v>
      </c>
      <c r="AO32" s="57" t="str">
        <f>IF(SUM(AC32:AE35)=12,J33,INDEX(T,78,lang))</f>
        <v>Brazília</v>
      </c>
      <c r="AP32" s="58">
        <f>SUMPRODUCT(($S$7:$S$54=AB32&amp;"_win")*($U$7:$U$54))+SUMPRODUCT(($T$7:$T$54=AB32&amp;"_win")*($U$7:$U$54))</f>
        <v>0</v>
      </c>
      <c r="AQ32" s="59">
        <f>SUMPRODUCT(($S$7:$S$54=AB32&amp;"_draw")*($U$7:$U$54))+SUMPRODUCT(($T$7:$T$54=AB32&amp;"_draw")*($U$7:$U$54))</f>
        <v>0</v>
      </c>
      <c r="AR32" s="59">
        <f>SUMPRODUCT(($E$7:$E$54=AB32)*($U$7:$U$54)*($F$7:$F$54))+SUMPRODUCT(($H$7:$H$54=AB32)*($U$7:$U$54)*($G$7:$G$54))</f>
        <v>0</v>
      </c>
      <c r="AS32" s="59">
        <f>SUMPRODUCT(($E$7:$E$54=AB32)*($U$7:$U$54)*($G$7:$G$54))+SUMPRODUCT(($H$7:$H$54=AB32)*($U$7:$U$54)*($F$7:$F$54))</f>
        <v>0</v>
      </c>
      <c r="AT32" s="5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18">
        <v>62</v>
      </c>
      <c r="BL32" s="27" t="str">
        <f>T71</f>
        <v>Horvátország</v>
      </c>
      <c r="BM32" s="28"/>
      <c r="BN32" s="29"/>
      <c r="BO32" s="39"/>
      <c r="BP32" s="40"/>
      <c r="BQ32" s="127"/>
      <c r="BR32" s="128"/>
      <c r="BS32" s="128"/>
      <c r="BT32" s="129"/>
    </row>
    <row r="33" spans="1:72" ht="15" customHeight="1" x14ac:dyDescent="0.25">
      <c r="A33" s="18">
        <v>27</v>
      </c>
      <c r="B33" s="19" t="str">
        <f t="shared" si="0"/>
        <v>Szo</v>
      </c>
      <c r="C33" s="20" t="str">
        <f t="shared" si="1"/>
        <v>Jún 23, 2018</v>
      </c>
      <c r="D33" s="21">
        <f t="shared" si="8"/>
        <v>0.75</v>
      </c>
      <c r="E33" s="101" t="str">
        <f>AB38</f>
        <v>Németország</v>
      </c>
      <c r="F33" s="22">
        <v>2</v>
      </c>
      <c r="G33" s="23">
        <v>1</v>
      </c>
      <c r="H33" s="104" t="str">
        <f>AB40</f>
        <v>Svédország</v>
      </c>
      <c r="J33" s="63" t="str">
        <f>VLOOKUP(1,AA32:AK35,2,FALSE)</f>
        <v>Brazília</v>
      </c>
      <c r="K33" s="64">
        <f>L33+M33+N33</f>
        <v>3</v>
      </c>
      <c r="L33" s="64">
        <f>VLOOKUP(1,AA32:AK35,3,FALSE)</f>
        <v>2</v>
      </c>
      <c r="M33" s="64">
        <f>VLOOKUP(1,AA32:AK35,4,FALSE)</f>
        <v>1</v>
      </c>
      <c r="N33" s="64">
        <f>VLOOKUP(1,AA32:AK35,5,FALSE)</f>
        <v>0</v>
      </c>
      <c r="O33" s="64" t="str">
        <f>VLOOKUP(1,AA32:AK35,6,FALSE) &amp; " - " &amp; VLOOKUP(1,AA32:AK35,7,FALSE)</f>
        <v>5 - 1</v>
      </c>
      <c r="P33" s="65">
        <f>L33*3+M33</f>
        <v>7</v>
      </c>
      <c r="R33" s="55">
        <f>DATE(2018,6,23)+TIME(7,0,0)+gmt_delta</f>
        <v>43274.75</v>
      </c>
      <c r="S33" s="62" t="str">
        <f t="shared" si="2"/>
        <v>Németország_win</v>
      </c>
      <c r="T33" s="62" t="str">
        <f t="shared" si="3"/>
        <v>Svédország_lose</v>
      </c>
      <c r="U33" s="56">
        <f t="shared" si="4"/>
        <v>0</v>
      </c>
      <c r="V33" s="55">
        <f t="shared" si="5"/>
        <v>0</v>
      </c>
      <c r="W33" s="55">
        <f t="shared" si="6"/>
        <v>0</v>
      </c>
      <c r="X33" s="55">
        <f t="shared" si="7"/>
        <v>0</v>
      </c>
      <c r="Y33" s="55">
        <f t="shared" si="9"/>
        <v>1</v>
      </c>
      <c r="AA33" s="55">
        <f>COUNTIF(AN32:AN35,CONCATENATE("&gt;=",AN33))</f>
        <v>2</v>
      </c>
      <c r="AB33" s="56" t="str">
        <f>VLOOKUP("Switzerland",T,lang,FALSE)</f>
        <v>Svájc</v>
      </c>
      <c r="AC33" s="55">
        <f>COUNTIF($S$7:$T$54,"=" &amp; AB33 &amp; "_win")</f>
        <v>1</v>
      </c>
      <c r="AD33" s="55">
        <f>COUNTIF($S$7:$T$54,"=" &amp; AB33 &amp; "_draw")</f>
        <v>2</v>
      </c>
      <c r="AE33" s="55">
        <f>COUNTIF($S$7:$T$54,"=" &amp; AB33 &amp; "_lose")</f>
        <v>0</v>
      </c>
      <c r="AF33" s="55">
        <f>SUMIF($E$7:$E$54,$AB33,$F$7:$F$54) + SUMIF($H$7:$H$54,$AB33,$G$7:$G$54)</f>
        <v>5</v>
      </c>
      <c r="AG33" s="55">
        <f>SUMIF($E$7:$E$54,$AB33,$G$7:$G$54) + SUMIF($H$7:$H$54,$AB33,$F$7:$F$54)</f>
        <v>4</v>
      </c>
      <c r="AH33" s="55">
        <f>(AF33-AG33)*100+AK33*10000+AF33</f>
        <v>50105</v>
      </c>
      <c r="AI33" s="55">
        <f>AF33-AG33</f>
        <v>1</v>
      </c>
      <c r="AJ33" s="55">
        <f>(AI33-AI37)/AI36</f>
        <v>0.5</v>
      </c>
      <c r="AK33" s="55">
        <f>AC33*3+AD33</f>
        <v>5</v>
      </c>
      <c r="AL33" s="55">
        <f>AP33/AP36*1000+AQ33/AQ36*100+AT33/AT36*10+AR33/AR36</f>
        <v>0</v>
      </c>
      <c r="AM33" s="55">
        <f>VLOOKUP(AB33,db_fifarank,2,FALSE)/2000000</f>
        <v>5.9500000000000004E-4</v>
      </c>
      <c r="AN33" s="56">
        <f>1000*AK33/AK36+100*AJ33+10*AF33/AF36+1*AL33/AL36+AM33</f>
        <v>776.78630928571431</v>
      </c>
      <c r="AO33" s="57" t="str">
        <f>IF(SUM(AC32:AE35)=12,J34,INDEX(T,79,lang))</f>
        <v>Svájc</v>
      </c>
      <c r="AP33" s="58">
        <f>SUMPRODUCT(($S$7:$S$54=AB33&amp;"_win")*($U$7:$U$54))+SUMPRODUCT(($T$7:$T$54=AB33&amp;"_win")*($U$7:$U$54))</f>
        <v>0</v>
      </c>
      <c r="AQ33" s="59">
        <f>SUMPRODUCT(($S$7:$S$54=AB33&amp;"_draw")*($U$7:$U$54))+SUMPRODUCT(($T$7:$T$54=AB33&amp;"_draw")*($U$7:$U$54))</f>
        <v>0</v>
      </c>
      <c r="AR33" s="59">
        <f>SUMPRODUCT(($E$7:$E$54=AB33)*($U$7:$U$54)*($F$7:$F$54))+SUMPRODUCT(($H$7:$H$54=AB33)*($U$7:$U$54)*($G$7:$G$54))</f>
        <v>0</v>
      </c>
      <c r="AS33" s="59">
        <f>SUMPRODUCT(($E$7:$E$54=AB33)*($U$7:$U$54)*($G$7:$G$54))+SUMPRODUCT(($H$7:$H$54=AB33)*($U$7:$U$54)*($F$7:$F$54))</f>
        <v>0</v>
      </c>
      <c r="AT33" s="5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Júl 3, 2018   14:00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8"/>
      <c r="BK33" s="119"/>
      <c r="BL33" s="30" t="str">
        <f>T72</f>
        <v>Anglia</v>
      </c>
      <c r="BM33" s="31"/>
      <c r="BN33" s="32"/>
      <c r="BO33" s="40"/>
      <c r="BP33" s="40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Szo</v>
      </c>
      <c r="C34" s="20" t="str">
        <f t="shared" si="1"/>
        <v>Jún 23, 2018</v>
      </c>
      <c r="D34" s="21">
        <f t="shared" si="8"/>
        <v>0.625</v>
      </c>
      <c r="E34" s="101" t="str">
        <f>AB41</f>
        <v>Dél-Korea</v>
      </c>
      <c r="F34" s="22">
        <v>1</v>
      </c>
      <c r="G34" s="23">
        <v>2</v>
      </c>
      <c r="H34" s="104" t="str">
        <f>AB39</f>
        <v>Mexikó</v>
      </c>
      <c r="J34" s="66" t="str">
        <f>VLOOKUP(2,AA32:AK35,2,FALSE)</f>
        <v>Svájc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67">
        <f>L34*3+M34</f>
        <v>5</v>
      </c>
      <c r="R34" s="55">
        <f>DATE(2018,6,23)+TIME(4,0,0)+gmt_delta</f>
        <v>43274.625</v>
      </c>
      <c r="S34" s="62" t="str">
        <f t="shared" si="2"/>
        <v>Dél-Korea_lose</v>
      </c>
      <c r="T34" s="62" t="str">
        <f t="shared" si="3"/>
        <v>Mexikó_win</v>
      </c>
      <c r="U34" s="56">
        <f t="shared" si="4"/>
        <v>0</v>
      </c>
      <c r="V34" s="55">
        <f t="shared" si="5"/>
        <v>0</v>
      </c>
      <c r="W34" s="55">
        <f t="shared" si="6"/>
        <v>0</v>
      </c>
      <c r="X34" s="55">
        <f t="shared" si="7"/>
        <v>0</v>
      </c>
      <c r="Y34" s="55">
        <f t="shared" si="9"/>
        <v>-1</v>
      </c>
      <c r="AA34" s="55">
        <f>COUNTIF(AN32:AN35,CONCATENATE("&gt;=",AN34))</f>
        <v>4</v>
      </c>
      <c r="AB34" s="56" t="str">
        <f>VLOOKUP("Costa Rica",T,lang,FALSE)</f>
        <v>Costa Rica</v>
      </c>
      <c r="AC34" s="55">
        <f>COUNTIF($S$7:$T$54,"=" &amp; AB34 &amp; "_win")</f>
        <v>0</v>
      </c>
      <c r="AD34" s="55">
        <f>COUNTIF($S$7:$T$54,"=" &amp; AB34 &amp; "_draw")</f>
        <v>1</v>
      </c>
      <c r="AE34" s="55">
        <f>COUNTIF($S$7:$T$54,"=" &amp; AB34 &amp; "_lose")</f>
        <v>2</v>
      </c>
      <c r="AF34" s="55">
        <f>SUMIF($E$7:$E$54,$AB34,$F$7:$F$54) + SUMIF($H$7:$H$54,$AB34,$G$7:$G$54)</f>
        <v>2</v>
      </c>
      <c r="AG34" s="55">
        <f>SUMIF($E$7:$E$54,$AB34,$G$7:$G$54) + SUMIF($H$7:$H$54,$AB34,$F$7:$F$54)</f>
        <v>5</v>
      </c>
      <c r="AH34" s="55">
        <f>(AF34-AG34)*100+AK34*10000+AF34</f>
        <v>9702</v>
      </c>
      <c r="AI34" s="55">
        <f>AF34-AG34</f>
        <v>-3</v>
      </c>
      <c r="AJ34" s="55">
        <f>(AI34-AI37)/AI36</f>
        <v>0</v>
      </c>
      <c r="AK34" s="55">
        <f>AC34*3+AD34</f>
        <v>1</v>
      </c>
      <c r="AL34" s="55">
        <f>AP34/AP36*1000+AQ34/AQ36*100+AT34/AT36*10+AR34/AR36</f>
        <v>0</v>
      </c>
      <c r="AM34" s="55">
        <f>VLOOKUP(AB34,db_fifarank,2,FALSE)/2000000</f>
        <v>4.2499999999999998E-4</v>
      </c>
      <c r="AN34" s="56">
        <f>1000*AK34/AK36+100*AJ34+10*AF34/AF36+1*AL34/AL36+AM34</f>
        <v>147.85756785714287</v>
      </c>
      <c r="AP34" s="58">
        <f>SUMPRODUCT(($S$7:$S$54=AB34&amp;"_win")*($U$7:$U$54))+SUMPRODUCT(($T$7:$T$54=AB34&amp;"_win")*($U$7:$U$54))</f>
        <v>0</v>
      </c>
      <c r="AQ34" s="59">
        <f>SUMPRODUCT(($S$7:$S$54=AB34&amp;"_draw")*($U$7:$U$54))+SUMPRODUCT(($T$7:$T$54=AB34&amp;"_draw")*($U$7:$U$54))</f>
        <v>0</v>
      </c>
      <c r="AR34" s="59">
        <f>SUMPRODUCT(($E$7:$E$54=AB34)*($U$7:$U$54)*($F$7:$F$54))+SUMPRODUCT(($H$7:$H$54=AB34)*($U$7:$U$54)*($G$7:$G$54))</f>
        <v>0</v>
      </c>
      <c r="AS34" s="59">
        <f>SUMPRODUCT(($E$7:$E$54=AB34)*($U$7:$U$54)*($G$7:$G$54))+SUMPRODUCT(($H$7:$H$54=AB34)*($U$7:$U$54)*($F$7:$F$54))</f>
        <v>0</v>
      </c>
      <c r="AT34" s="59">
        <f>AR34-AS34</f>
        <v>0</v>
      </c>
      <c r="AY34" s="118">
        <v>55</v>
      </c>
      <c r="AZ34" s="27" t="str">
        <f>AO38</f>
        <v>Svédország</v>
      </c>
      <c r="BA34" s="28">
        <v>1</v>
      </c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Júl 14, 2018   14:00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Szo</v>
      </c>
      <c r="C35" s="20" t="str">
        <f t="shared" si="1"/>
        <v>Jún 23, 2018</v>
      </c>
      <c r="D35" s="21">
        <f t="shared" si="8"/>
        <v>0.5</v>
      </c>
      <c r="E35" s="101" t="str">
        <f>AB44</f>
        <v>Belgium</v>
      </c>
      <c r="F35" s="22">
        <v>5</v>
      </c>
      <c r="G35" s="23">
        <v>2</v>
      </c>
      <c r="H35" s="104" t="str">
        <f>AB46</f>
        <v>Tunézia</v>
      </c>
      <c r="J35" s="66" t="str">
        <f>VLOOKUP(3,AA32:AK35,2,FALSE)</f>
        <v>Szerbia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67">
        <f>L35*3+M35</f>
        <v>3</v>
      </c>
      <c r="R35" s="55">
        <f>DATE(2018,6,23)+TIME(1,0,0)+gmt_delta</f>
        <v>43274.5</v>
      </c>
      <c r="S35" s="62" t="str">
        <f t="shared" si="2"/>
        <v>Belgium_win</v>
      </c>
      <c r="T35" s="62" t="str">
        <f t="shared" si="3"/>
        <v>Tunézia_lose</v>
      </c>
      <c r="U35" s="56">
        <f t="shared" si="4"/>
        <v>0</v>
      </c>
      <c r="V35" s="55">
        <f t="shared" si="5"/>
        <v>0</v>
      </c>
      <c r="W35" s="55">
        <f t="shared" si="6"/>
        <v>0</v>
      </c>
      <c r="X35" s="55">
        <f t="shared" si="7"/>
        <v>0</v>
      </c>
      <c r="Y35" s="55">
        <f t="shared" si="9"/>
        <v>1</v>
      </c>
      <c r="AA35" s="55">
        <f>COUNTIF(AN32:AN35,CONCATENATE("&gt;=",AN35))</f>
        <v>3</v>
      </c>
      <c r="AB35" s="56" t="str">
        <f>VLOOKUP("Serbia",T,lang,FALSE)</f>
        <v>Szerbia</v>
      </c>
      <c r="AC35" s="55">
        <f>COUNTIF($S$7:$T$54,"=" &amp; AB35 &amp; "_win")</f>
        <v>1</v>
      </c>
      <c r="AD35" s="55">
        <f>COUNTIF($S$7:$T$54,"=" &amp; AB35 &amp; "_draw")</f>
        <v>0</v>
      </c>
      <c r="AE35" s="55">
        <f>COUNTIF($S$7:$T$54,"=" &amp; AB35 &amp; "_lose")</f>
        <v>2</v>
      </c>
      <c r="AF35" s="55">
        <f>SUMIF($E$7:$E$54,$AB35,$F$7:$F$54) + SUMIF($H$7:$H$54,$AB35,$G$7:$G$54)</f>
        <v>2</v>
      </c>
      <c r="AG35" s="55">
        <f>SUMIF($E$7:$E$54,$AB35,$G$7:$G$54) + SUMIF($H$7:$H$54,$AB35,$F$7:$F$54)</f>
        <v>4</v>
      </c>
      <c r="AH35" s="55">
        <f>(AF35-AG35)*100+AK35*10000+AF35</f>
        <v>29802</v>
      </c>
      <c r="AI35" s="55">
        <f>AF35-AG35</f>
        <v>-2</v>
      </c>
      <c r="AJ35" s="55">
        <f>(AI35-AI37)/AI36</f>
        <v>0.125</v>
      </c>
      <c r="AK35" s="55">
        <f>AC35*3+AD35</f>
        <v>3</v>
      </c>
      <c r="AL35" s="55">
        <f>AP35/AP36*1000+AQ35/AQ36*100+AT35/AT36*10+AR35/AR36</f>
        <v>0</v>
      </c>
      <c r="AM35" s="55">
        <f>VLOOKUP(AB35,db_fifarank,2,FALSE)/2000000</f>
        <v>3.7800000000000003E-4</v>
      </c>
      <c r="AN35" s="56">
        <f>1000*AK35/AK36+100*AJ35+10*AF35/AF36+1*AL35/AL36+AM35</f>
        <v>446.07180657142857</v>
      </c>
      <c r="AP35" s="58">
        <f>SUMPRODUCT(($S$7:$S$54=AB35&amp;"_win")*($U$7:$U$54))+SUMPRODUCT(($T$7:$T$54=AB35&amp;"_win")*($U$7:$U$54))</f>
        <v>0</v>
      </c>
      <c r="AQ35" s="59">
        <f>SUMPRODUCT(($S$7:$S$54=AB35&amp;"_draw")*($U$7:$U$54))+SUMPRODUCT(($T$7:$T$54=AB35&amp;"_draw")*($U$7:$U$54))</f>
        <v>0</v>
      </c>
      <c r="AR35" s="59">
        <f>SUMPRODUCT(($E$7:$E$54=AB35)*($U$7:$U$54)*($F$7:$F$54))+SUMPRODUCT(($H$7:$H$54=AB35)*($U$7:$U$54)*($G$7:$G$54))</f>
        <v>0</v>
      </c>
      <c r="AS35" s="59">
        <f>SUMPRODUCT(($E$7:$E$54=AB35)*($U$7:$U$54)*($G$7:$G$54))+SUMPRODUCT(($H$7:$H$54=AB35)*($U$7:$U$54)*($F$7:$F$54))</f>
        <v>0</v>
      </c>
      <c r="AT35" s="59">
        <f>AR35-AS35</f>
        <v>0</v>
      </c>
      <c r="AY35" s="119"/>
      <c r="AZ35" s="30" t="str">
        <f>AO33</f>
        <v>Svájc</v>
      </c>
      <c r="BA35" s="31">
        <v>0</v>
      </c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Júl 7, 2018   14:00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18">
        <v>63</v>
      </c>
      <c r="BR35" s="27" t="str">
        <f>Z76</f>
        <v>V61</v>
      </c>
      <c r="BS35" s="28"/>
      <c r="BT35" s="29"/>
    </row>
    <row r="36" spans="1:72" ht="15" customHeight="1" x14ac:dyDescent="0.25">
      <c r="A36" s="18">
        <v>30</v>
      </c>
      <c r="B36" s="19" t="str">
        <f t="shared" si="0"/>
        <v>Vas</v>
      </c>
      <c r="C36" s="20" t="str">
        <f t="shared" si="1"/>
        <v>Jún 24, 2018</v>
      </c>
      <c r="D36" s="21">
        <f t="shared" si="8"/>
        <v>0.5</v>
      </c>
      <c r="E36" s="101" t="str">
        <f>AB47</f>
        <v>Anglia</v>
      </c>
      <c r="F36" s="22">
        <v>6</v>
      </c>
      <c r="G36" s="23">
        <v>1</v>
      </c>
      <c r="H36" s="104" t="str">
        <f>AB45</f>
        <v>Panama</v>
      </c>
      <c r="J36" s="68" t="str">
        <f>VLOOKUP(4,AA32:AK35,2,FALSE)</f>
        <v>Costa Rica</v>
      </c>
      <c r="K36" s="69">
        <f>L36+M36+N36</f>
        <v>3</v>
      </c>
      <c r="L36" s="69">
        <f>VLOOKUP(4,AA32:AK35,3,FALSE)</f>
        <v>0</v>
      </c>
      <c r="M36" s="69">
        <f>VLOOKUP(4,AA32:AK35,4,FALSE)</f>
        <v>1</v>
      </c>
      <c r="N36" s="69">
        <f>VLOOKUP(4,AA32:AK35,5,FALSE)</f>
        <v>2</v>
      </c>
      <c r="O36" s="69" t="str">
        <f>VLOOKUP(4,AA32:AK35,6,FALSE) &amp; " - " &amp; VLOOKUP(4,AA32:AK35,7,FALSE)</f>
        <v>2 - 5</v>
      </c>
      <c r="P36" s="70">
        <f>L36*3+M36</f>
        <v>1</v>
      </c>
      <c r="R36" s="55">
        <f>DATE(2018,6,24)+TIME(1,0,0)+gmt_delta</f>
        <v>43275.5</v>
      </c>
      <c r="S36" s="62" t="str">
        <f t="shared" si="2"/>
        <v>Anglia_win</v>
      </c>
      <c r="T36" s="62" t="str">
        <f t="shared" si="3"/>
        <v>Panama_lose</v>
      </c>
      <c r="U36" s="56">
        <f t="shared" si="4"/>
        <v>0</v>
      </c>
      <c r="V36" s="55">
        <f t="shared" si="5"/>
        <v>0</v>
      </c>
      <c r="W36" s="55">
        <f t="shared" si="6"/>
        <v>0</v>
      </c>
      <c r="X36" s="55">
        <f t="shared" si="7"/>
        <v>0</v>
      </c>
      <c r="Y36" s="55">
        <f t="shared" si="9"/>
        <v>1</v>
      </c>
      <c r="AC36" s="55">
        <f t="shared" ref="AC36:AL36" si="14">MAX(AC32:AC35)-MIN(AC32:AC35)+1</f>
        <v>3</v>
      </c>
      <c r="AD36" s="55">
        <f t="shared" si="14"/>
        <v>3</v>
      </c>
      <c r="AE36" s="55">
        <f t="shared" si="14"/>
        <v>3</v>
      </c>
      <c r="AF36" s="55">
        <f t="shared" si="14"/>
        <v>4</v>
      </c>
      <c r="AG36" s="55">
        <f t="shared" si="14"/>
        <v>5</v>
      </c>
      <c r="AH36" s="55">
        <f>MAX(AH32:AH35)-AH37+1</f>
        <v>60704</v>
      </c>
      <c r="AI36" s="55">
        <f>MAX(AI32:AI35)-AI37+1</f>
        <v>8</v>
      </c>
      <c r="AK36" s="55">
        <f t="shared" si="14"/>
        <v>7</v>
      </c>
      <c r="AL36" s="55">
        <f t="shared" si="14"/>
        <v>1</v>
      </c>
      <c r="AP36" s="55">
        <f>MAX(AP32:AP35)-MIN(AP32:AP35)+1</f>
        <v>1</v>
      </c>
      <c r="AQ36" s="55">
        <f>MAX(AQ32:AQ35)-MIN(AQ32:AQ35)+1</f>
        <v>1</v>
      </c>
      <c r="AR36" s="55">
        <f>MAX(AR32:AR35)-MIN(AR32:AR35)+1</f>
        <v>1</v>
      </c>
      <c r="AS36" s="55">
        <f>MAX(AS32:AS35)-MIN(AS32:AS35)+1</f>
        <v>1</v>
      </c>
      <c r="AT36" s="55">
        <f>MAX(AT32:AT35)-MIN(AT32:AT35)+1</f>
        <v>1</v>
      </c>
      <c r="AY36" s="24"/>
      <c r="AZ36" s="24"/>
      <c r="BA36" s="24"/>
      <c r="BB36" s="24"/>
      <c r="BC36" s="35"/>
      <c r="BD36" s="24"/>
      <c r="BE36" s="118">
        <v>60</v>
      </c>
      <c r="BF36" s="27" t="str">
        <f>T64</f>
        <v>Svédország</v>
      </c>
      <c r="BG36" s="28">
        <v>0</v>
      </c>
      <c r="BH36" s="29"/>
      <c r="BI36" s="39"/>
      <c r="BJ36" s="24"/>
      <c r="BK36" s="24"/>
      <c r="BL36" s="24"/>
      <c r="BM36" s="24"/>
      <c r="BN36" s="24"/>
      <c r="BO36" s="24"/>
      <c r="BP36" s="24"/>
      <c r="BQ36" s="119"/>
      <c r="BR36" s="30" t="str">
        <f>Z77</f>
        <v>V62</v>
      </c>
      <c r="BS36" s="31"/>
      <c r="BT36" s="32"/>
    </row>
    <row r="37" spans="1:72" ht="15" customHeight="1" x14ac:dyDescent="0.25">
      <c r="A37" s="18">
        <v>31</v>
      </c>
      <c r="B37" s="19" t="str">
        <f t="shared" si="0"/>
        <v>Vas</v>
      </c>
      <c r="C37" s="20" t="str">
        <f t="shared" si="1"/>
        <v>Jún 24, 2018</v>
      </c>
      <c r="D37" s="21">
        <f t="shared" si="8"/>
        <v>0.75</v>
      </c>
      <c r="E37" s="101" t="str">
        <f>AB50</f>
        <v>Lengyelország</v>
      </c>
      <c r="F37" s="22">
        <v>0</v>
      </c>
      <c r="G37" s="23">
        <v>3</v>
      </c>
      <c r="H37" s="104" t="str">
        <f>AB52</f>
        <v>Colombia</v>
      </c>
      <c r="R37" s="55">
        <f>DATE(2018,6,24)+TIME(7,0,0)+gmt_delta</f>
        <v>43275.75</v>
      </c>
      <c r="S37" s="62" t="str">
        <f t="shared" si="2"/>
        <v>Lengyelország_lose</v>
      </c>
      <c r="T37" s="62" t="str">
        <f t="shared" si="3"/>
        <v>Colombia_win</v>
      </c>
      <c r="U37" s="56">
        <f t="shared" si="4"/>
        <v>0</v>
      </c>
      <c r="V37" s="55">
        <f t="shared" si="5"/>
        <v>0</v>
      </c>
      <c r="W37" s="55">
        <f t="shared" si="6"/>
        <v>0</v>
      </c>
      <c r="X37" s="55">
        <f t="shared" si="7"/>
        <v>0</v>
      </c>
      <c r="Y37" s="55">
        <f t="shared" si="9"/>
        <v>-1</v>
      </c>
      <c r="AH37" s="55">
        <f>MIN(AH32:AH35)</f>
        <v>9702</v>
      </c>
      <c r="AI37" s="55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Júl 3, 2018   18:00</v>
      </c>
      <c r="AZ37" s="24"/>
      <c r="BA37" s="24"/>
      <c r="BB37" s="34"/>
      <c r="BC37" s="35"/>
      <c r="BD37" s="38"/>
      <c r="BE37" s="119"/>
      <c r="BF37" s="30" t="str">
        <f>T65</f>
        <v>Anglia</v>
      </c>
      <c r="BG37" s="31">
        <v>2</v>
      </c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Vas</v>
      </c>
      <c r="C38" s="20" t="str">
        <f t="shared" si="1"/>
        <v>Jún 24, 2018</v>
      </c>
      <c r="D38" s="21">
        <f t="shared" si="8"/>
        <v>0.625</v>
      </c>
      <c r="E38" s="101" t="str">
        <f>AB53</f>
        <v>Japán</v>
      </c>
      <c r="F38" s="22">
        <v>2</v>
      </c>
      <c r="G38" s="23">
        <v>2</v>
      </c>
      <c r="H38" s="104" t="str">
        <f>AB51</f>
        <v>Szenegál</v>
      </c>
      <c r="J38" s="71" t="str">
        <f>INDEX(T,9,lang) &amp; " " &amp; "F"</f>
        <v>Csoport F</v>
      </c>
      <c r="K38" s="72" t="str">
        <f>INDEX(T,10,lang)</f>
        <v>M</v>
      </c>
      <c r="L38" s="72" t="str">
        <f>INDEX(T,11,lang)</f>
        <v>GY</v>
      </c>
      <c r="M38" s="72" t="str">
        <f>INDEX(T,12,lang)</f>
        <v>D</v>
      </c>
      <c r="N38" s="72" t="str">
        <f>INDEX(T,13,lang)</f>
        <v>V</v>
      </c>
      <c r="O38" s="72" t="str">
        <f>INDEX(T,14,lang)</f>
        <v>Gólkül.</v>
      </c>
      <c r="P38" s="73" t="str">
        <f>INDEX(T,15,lang)</f>
        <v>PNT</v>
      </c>
      <c r="R38" s="55">
        <f>DATE(2018,6,24)+TIME(4,0,0)+gmt_delta</f>
        <v>43275.625</v>
      </c>
      <c r="S38" s="62" t="str">
        <f t="shared" si="2"/>
        <v>Japán_draw</v>
      </c>
      <c r="T38" s="62" t="str">
        <f t="shared" si="3"/>
        <v>Szenegál_draw</v>
      </c>
      <c r="U38" s="56">
        <f t="shared" si="4"/>
        <v>1</v>
      </c>
      <c r="V38" s="55">
        <f t="shared" si="5"/>
        <v>2</v>
      </c>
      <c r="W38" s="55">
        <f t="shared" si="6"/>
        <v>2</v>
      </c>
      <c r="X38" s="55">
        <f t="shared" si="7"/>
        <v>0</v>
      </c>
      <c r="Y38" s="55">
        <f t="shared" si="9"/>
        <v>0</v>
      </c>
      <c r="AA38" s="55">
        <f>COUNTIF(AN38:AN41,CONCATENATE("&gt;=",AN38))</f>
        <v>4</v>
      </c>
      <c r="AB38" s="56" t="str">
        <f>VLOOKUP("Germany",T,lang,FALSE)</f>
        <v>Németország</v>
      </c>
      <c r="AC38" s="55">
        <f>COUNTIF($S$7:$T$54,"=" &amp; AB38 &amp; "_win")</f>
        <v>1</v>
      </c>
      <c r="AD38" s="55">
        <f>COUNTIF($S$7:$T$54,"=" &amp; AB38 &amp; "_draw")</f>
        <v>0</v>
      </c>
      <c r="AE38" s="55">
        <f>COUNTIF($S$7:$T$54,"=" &amp; AB38 &amp; "_lose")</f>
        <v>2</v>
      </c>
      <c r="AF38" s="55">
        <f>SUMIF($E$7:$E$54,$AB38,$F$7:$F$54) + SUMIF($H$7:$H$54,$AB38,$G$7:$G$54)</f>
        <v>2</v>
      </c>
      <c r="AG38" s="55">
        <f>SUMIF($E$7:$E$54,$AB38,$G$7:$G$54) + SUMIF($H$7:$H$54,$AB38,$F$7:$F$54)</f>
        <v>4</v>
      </c>
      <c r="AH38" s="55">
        <f>(AF38-AG38)*100+AK38*10000+AF38</f>
        <v>29802</v>
      </c>
      <c r="AI38" s="55">
        <f>AF38-AG38</f>
        <v>-2</v>
      </c>
      <c r="AJ38" s="55">
        <f>(AI38-AI43)/AI42</f>
        <v>0</v>
      </c>
      <c r="AK38" s="55">
        <f>AC38*3+AD38</f>
        <v>3</v>
      </c>
      <c r="AL38" s="55">
        <f>AP38/AP42*1000+AQ38/AQ42*100+AT38/AT42*10+AR38/AR42</f>
        <v>0</v>
      </c>
      <c r="AM38" s="55">
        <f>VLOOKUP(AB38,db_fifarank,2,FALSE)/2000000</f>
        <v>8.0099999999999995E-4</v>
      </c>
      <c r="AN38" s="56">
        <f>1000*AK38/AK42+100*AJ38+10*AF38/AF42+1*AL38/AL42+AM38</f>
        <v>755.00080100000002</v>
      </c>
      <c r="AO38" s="57" t="str">
        <f>IF(SUM(AC38:AE41)=12,J39,INDEX(T,80,lang))</f>
        <v>Svédország</v>
      </c>
      <c r="AP38" s="58">
        <f>SUMPRODUCT(($S$7:$S$54=AB38&amp;"_win")*($U$7:$U$54))+SUMPRODUCT(($T$7:$T$54=AB38&amp;"_win")*($U$7:$U$54))</f>
        <v>0</v>
      </c>
      <c r="AQ38" s="59">
        <f>SUMPRODUCT(($S$7:$S$54=AB38&amp;"_draw")*($U$7:$U$54))+SUMPRODUCT(($T$7:$T$54=AB38&amp;"_draw")*($U$7:$U$54))</f>
        <v>0</v>
      </c>
      <c r="AR38" s="59">
        <f>SUMPRODUCT(($E$7:$E$54=AB38)*($U$7:$U$54)*($F$7:$F$54))+SUMPRODUCT(($H$7:$H$54=AB38)*($U$7:$U$54)*($G$7:$G$54))</f>
        <v>0</v>
      </c>
      <c r="AS38" s="59">
        <f>SUMPRODUCT(($E$7:$E$54=AB38)*($U$7:$U$54)*($G$7:$G$54))+SUMPRODUCT(($H$7:$H$54=AB38)*($U$7:$U$54)*($F$7:$F$54))</f>
        <v>0</v>
      </c>
      <c r="AT38" s="59">
        <f>AR38-AS38</f>
        <v>0</v>
      </c>
      <c r="AY38" s="118">
        <v>56</v>
      </c>
      <c r="AZ38" s="27" t="str">
        <f>AO50</f>
        <v>Colombia</v>
      </c>
      <c r="BA38" s="28">
        <v>1</v>
      </c>
      <c r="BB38" s="29">
        <v>3</v>
      </c>
      <c r="BC38" s="39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Hét</v>
      </c>
      <c r="C39" s="20" t="str">
        <f t="shared" si="1"/>
        <v>Jún 25, 2018</v>
      </c>
      <c r="D39" s="21">
        <f t="shared" si="8"/>
        <v>0.58333333333333337</v>
      </c>
      <c r="E39" s="101" t="str">
        <f>AB11</f>
        <v>Uruguay</v>
      </c>
      <c r="F39" s="22">
        <v>3</v>
      </c>
      <c r="G39" s="23">
        <v>0</v>
      </c>
      <c r="H39" s="104" t="str">
        <f>AB8</f>
        <v>Oroszország</v>
      </c>
      <c r="J39" s="63" t="str">
        <f>VLOOKUP(1,AA38:AK41,2,FALSE)</f>
        <v>Svédország</v>
      </c>
      <c r="K39" s="64">
        <f>L39+M39+N39</f>
        <v>3</v>
      </c>
      <c r="L39" s="64">
        <f>VLOOKUP(1,AA38:AK41,3,FALSE)</f>
        <v>2</v>
      </c>
      <c r="M39" s="64">
        <f>VLOOKUP(1,AA38:AK41,4,FALSE)</f>
        <v>0</v>
      </c>
      <c r="N39" s="64">
        <f>VLOOKUP(1,AA38:AK41,5,FALSE)</f>
        <v>1</v>
      </c>
      <c r="O39" s="64" t="str">
        <f>VLOOKUP(1,AA38:AK41,6,FALSE) &amp; " - " &amp; VLOOKUP(1,AA38:AK41,7,FALSE)</f>
        <v>5 - 2</v>
      </c>
      <c r="P39" s="65">
        <f>L39*3+M39</f>
        <v>6</v>
      </c>
      <c r="R39" s="55">
        <f>DATE(2018,6,25)+TIME(3,0,0)+gmt_delta</f>
        <v>43276.583333333336</v>
      </c>
      <c r="S39" s="62" t="str">
        <f t="shared" si="2"/>
        <v>Uruguay_win</v>
      </c>
      <c r="T39" s="62" t="str">
        <f t="shared" si="3"/>
        <v>Oroszország_lose</v>
      </c>
      <c r="U39" s="56">
        <f t="shared" si="4"/>
        <v>0</v>
      </c>
      <c r="V39" s="55">
        <f t="shared" si="5"/>
        <v>0</v>
      </c>
      <c r="W39" s="55">
        <f t="shared" si="6"/>
        <v>0</v>
      </c>
      <c r="X39" s="55">
        <f t="shared" si="7"/>
        <v>0</v>
      </c>
      <c r="Y39" s="55">
        <f t="shared" si="9"/>
        <v>1</v>
      </c>
      <c r="AA39" s="55">
        <f>COUNTIF(AN38:AN41,CONCATENATE("&gt;=",AN39))</f>
        <v>2</v>
      </c>
      <c r="AB39" s="56" t="str">
        <f>VLOOKUP("Mexico",T,lang,FALSE)</f>
        <v>Mexikó</v>
      </c>
      <c r="AC39" s="55">
        <f>COUNTIF($S$7:$T$54,"=" &amp; AB39 &amp; "_win")</f>
        <v>2</v>
      </c>
      <c r="AD39" s="55">
        <f>COUNTIF($S$7:$T$54,"=" &amp; AB39 &amp; "_draw")</f>
        <v>0</v>
      </c>
      <c r="AE39" s="55">
        <f>COUNTIF($S$7:$T$54,"=" &amp; AB39 &amp; "_lose")</f>
        <v>1</v>
      </c>
      <c r="AF39" s="55">
        <f>SUMIF($E$7:$E$54,$AB39,$F$7:$F$54) + SUMIF($H$7:$H$54,$AB39,$G$7:$G$54)</f>
        <v>3</v>
      </c>
      <c r="AG39" s="55">
        <f>SUMIF($E$7:$E$54,$AB39,$G$7:$G$54) + SUMIF($H$7:$H$54,$AB39,$F$7:$F$54)</f>
        <v>4</v>
      </c>
      <c r="AH39" s="55">
        <f>(AF39-AG39)*100+AK39*10000+AF39</f>
        <v>59903</v>
      </c>
      <c r="AI39" s="55">
        <f>AF39-AG39</f>
        <v>-1</v>
      </c>
      <c r="AJ39" s="55">
        <f>(AI39-AI43)/AI42</f>
        <v>0.16666666666666666</v>
      </c>
      <c r="AK39" s="55">
        <f>AC39*3+AD39</f>
        <v>6</v>
      </c>
      <c r="AL39" s="55">
        <f>AP39/AP42*1000+AQ39/AQ42*100+AT39/AT42*10+AR39/AR42</f>
        <v>0</v>
      </c>
      <c r="AM39" s="55">
        <f>VLOOKUP(AB39,db_fifarank,2,FALSE)/2000000</f>
        <v>5.1599999999999997E-4</v>
      </c>
      <c r="AN39" s="56">
        <f>1000*AK39/AK42+100*AJ39+10*AF39/AF42+1*AL39/AL42+AM39</f>
        <v>1524.1671826666668</v>
      </c>
      <c r="AO39" s="57" t="str">
        <f>IF(SUM(AC38:AE41)=12,J40,INDEX(T,81,lang))</f>
        <v>Mexikó</v>
      </c>
      <c r="AP39" s="58">
        <f>SUMPRODUCT(($S$7:$S$54=AB39&amp;"_win")*($U$7:$U$54))+SUMPRODUCT(($T$7:$T$54=AB39&amp;"_win")*($U$7:$U$54))</f>
        <v>0</v>
      </c>
      <c r="AQ39" s="59">
        <f>SUMPRODUCT(($S$7:$S$54=AB39&amp;"_draw")*($U$7:$U$54))+SUMPRODUCT(($T$7:$T$54=AB39&amp;"_draw")*($U$7:$U$54))</f>
        <v>0</v>
      </c>
      <c r="AR39" s="59">
        <f>SUMPRODUCT(($E$7:$E$54=AB39)*($U$7:$U$54)*($F$7:$F$54))+SUMPRODUCT(($H$7:$H$54=AB39)*($U$7:$U$54)*($G$7:$G$54))</f>
        <v>0</v>
      </c>
      <c r="AS39" s="59">
        <f>SUMPRODUCT(($E$7:$E$54=AB39)*($U$7:$U$54)*($G$7:$G$54))+SUMPRODUCT(($H$7:$H$54=AB39)*($U$7:$U$54)*($F$7:$F$54))</f>
        <v>0</v>
      </c>
      <c r="AT39" s="59">
        <f>AR39-AS39</f>
        <v>0</v>
      </c>
      <c r="AY39" s="119"/>
      <c r="AZ39" s="30" t="str">
        <f>AO45</f>
        <v>Anglia</v>
      </c>
      <c r="BA39" s="31">
        <v>1</v>
      </c>
      <c r="BB39" s="32">
        <v>4</v>
      </c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Hét</v>
      </c>
      <c r="C40" s="20" t="str">
        <f t="shared" si="1"/>
        <v>Jún 25, 2018</v>
      </c>
      <c r="D40" s="21">
        <f t="shared" si="8"/>
        <v>0.58333333333333337</v>
      </c>
      <c r="E40" s="101" t="str">
        <f>AB9</f>
        <v>Szaud-Arábia</v>
      </c>
      <c r="F40" s="22">
        <v>2</v>
      </c>
      <c r="G40" s="23">
        <v>1</v>
      </c>
      <c r="H40" s="104" t="str">
        <f>AB10</f>
        <v>Egyiptom</v>
      </c>
      <c r="J40" s="66" t="str">
        <f>VLOOKUP(2,AA38:AK41,2,FALSE)</f>
        <v>Mexikó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67">
        <f>L40*3+M40</f>
        <v>6</v>
      </c>
      <c r="R40" s="55">
        <f>DATE(2018,6,25)+TIME(3,0,0)+gmt_delta</f>
        <v>43276.583333333336</v>
      </c>
      <c r="S40" s="62" t="str">
        <f t="shared" si="2"/>
        <v>Szaud-Arábia_win</v>
      </c>
      <c r="T40" s="62" t="str">
        <f t="shared" si="3"/>
        <v>Egyiptom_lose</v>
      </c>
      <c r="U40" s="56">
        <f t="shared" si="4"/>
        <v>0</v>
      </c>
      <c r="V40" s="55">
        <f t="shared" si="5"/>
        <v>0</v>
      </c>
      <c r="W40" s="55">
        <f t="shared" si="6"/>
        <v>0</v>
      </c>
      <c r="X40" s="55">
        <f t="shared" si="7"/>
        <v>0</v>
      </c>
      <c r="Y40" s="55">
        <f t="shared" si="9"/>
        <v>1</v>
      </c>
      <c r="AA40" s="55">
        <f>COUNTIF(AN38:AN41,CONCATENATE("&gt;=",AN40))</f>
        <v>1</v>
      </c>
      <c r="AB40" s="56" t="str">
        <f>VLOOKUP("Sweden",T,lang,FALSE)</f>
        <v>Svédország</v>
      </c>
      <c r="AC40" s="55">
        <f>COUNTIF($S$7:$T$54,"=" &amp; AB40 &amp; "_win")</f>
        <v>2</v>
      </c>
      <c r="AD40" s="55">
        <f>COUNTIF($S$7:$T$54,"=" &amp; AB40 &amp; "_draw")</f>
        <v>0</v>
      </c>
      <c r="AE40" s="55">
        <f>COUNTIF($S$7:$T$54,"=" &amp; AB40 &amp; "_lose")</f>
        <v>1</v>
      </c>
      <c r="AF40" s="55">
        <f>SUMIF($E$7:$E$54,$AB40,$F$7:$F$54) + SUMIF($H$7:$H$54,$AB40,$G$7:$G$54)</f>
        <v>5</v>
      </c>
      <c r="AG40" s="55">
        <f>SUMIF($E$7:$E$54,$AB40,$G$7:$G$54) + SUMIF($H$7:$H$54,$AB40,$F$7:$F$54)</f>
        <v>2</v>
      </c>
      <c r="AH40" s="55">
        <f>(AF40-AG40)*100+AK40*10000+AF40</f>
        <v>60305</v>
      </c>
      <c r="AI40" s="55">
        <f>AF40-AG40</f>
        <v>3</v>
      </c>
      <c r="AJ40" s="55">
        <f>(AI40-AI43)/AI42</f>
        <v>0.83333333333333337</v>
      </c>
      <c r="AK40" s="55">
        <f>AC40*3+AD40</f>
        <v>6</v>
      </c>
      <c r="AL40" s="55">
        <f>AP40/AP42*1000+AQ40/AQ42*100+AT40/AT42*10+AR40/AR42</f>
        <v>0</v>
      </c>
      <c r="AM40" s="55">
        <f>VLOOKUP(AB40,db_fifarank,2,FALSE)/2000000</f>
        <v>4.9899999999999999E-4</v>
      </c>
      <c r="AN40" s="56">
        <f>1000*AK40/AK42+100*AJ40+10*AF40/AF42+1*AL40/AL42+AM40</f>
        <v>1595.8338323333332</v>
      </c>
      <c r="AP40" s="58">
        <f>SUMPRODUCT(($S$7:$S$54=AB40&amp;"_win")*($U$7:$U$54))+SUMPRODUCT(($T$7:$T$54=AB40&amp;"_win")*($U$7:$U$54))</f>
        <v>0</v>
      </c>
      <c r="AQ40" s="59">
        <f>SUMPRODUCT(($S$7:$S$54=AB40&amp;"_draw")*($U$7:$U$54))+SUMPRODUCT(($T$7:$T$54=AB40&amp;"_draw")*($U$7:$U$54))</f>
        <v>0</v>
      </c>
      <c r="AR40" s="59">
        <f>SUMPRODUCT(($E$7:$E$54=AB40)*($U$7:$U$54)*($F$7:$F$54))+SUMPRODUCT(($H$7:$H$54=AB40)*($U$7:$U$54)*($G$7:$G$54))</f>
        <v>0</v>
      </c>
      <c r="AS40" s="59">
        <f>SUMPRODUCT(($E$7:$E$54=AB40)*($U$7:$U$54)*($G$7:$G$54))+SUMPRODUCT(($H$7:$H$54=AB40)*($U$7:$U$54)*($F$7:$F$54))</f>
        <v>0</v>
      </c>
      <c r="AT40" s="59">
        <f>AR40-AS40</f>
        <v>0</v>
      </c>
    </row>
    <row r="41" spans="1:72" ht="15" customHeight="1" x14ac:dyDescent="0.25">
      <c r="A41" s="18">
        <v>35</v>
      </c>
      <c r="B41" s="19" t="str">
        <f t="shared" si="0"/>
        <v>Hét</v>
      </c>
      <c r="C41" s="20" t="str">
        <f t="shared" si="1"/>
        <v>Jún 25, 2018</v>
      </c>
      <c r="D41" s="21">
        <f t="shared" si="8"/>
        <v>0.75</v>
      </c>
      <c r="E41" s="101" t="str">
        <f>AB17</f>
        <v>Irán</v>
      </c>
      <c r="F41" s="22">
        <v>1</v>
      </c>
      <c r="G41" s="23">
        <v>1</v>
      </c>
      <c r="H41" s="104" t="str">
        <f>AB14</f>
        <v>Portugália</v>
      </c>
      <c r="J41" s="66" t="str">
        <f>VLOOKUP(3,AA38:AK41,2,FALSE)</f>
        <v>Dél-Korea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67">
        <f>L41*3+M41</f>
        <v>3</v>
      </c>
      <c r="R41" s="55">
        <f>DATE(2018,6,25)+TIME(7,0,0)+gmt_delta</f>
        <v>43276.75</v>
      </c>
      <c r="S41" s="62" t="str">
        <f t="shared" si="2"/>
        <v>Irán_draw</v>
      </c>
      <c r="T41" s="62" t="str">
        <f t="shared" si="3"/>
        <v>Portugália_draw</v>
      </c>
      <c r="U41" s="56">
        <f t="shared" si="4"/>
        <v>0</v>
      </c>
      <c r="V41" s="55">
        <f t="shared" si="5"/>
        <v>0</v>
      </c>
      <c r="W41" s="55">
        <f t="shared" si="6"/>
        <v>0</v>
      </c>
      <c r="X41" s="55">
        <f t="shared" si="7"/>
        <v>0</v>
      </c>
      <c r="Y41" s="55">
        <f t="shared" si="9"/>
        <v>0</v>
      </c>
      <c r="AA41" s="55">
        <f>COUNTIF(AN38:AN41,CONCATENATE("&gt;=",AN41))</f>
        <v>3</v>
      </c>
      <c r="AB41" s="56" t="str">
        <f>VLOOKUP("Korea Republic",T,lang,FALSE)</f>
        <v>Dél-Korea</v>
      </c>
      <c r="AC41" s="55">
        <f>COUNTIF($S$7:$T$54,"=" &amp; AB41 &amp; "_win")</f>
        <v>1</v>
      </c>
      <c r="AD41" s="55">
        <f>COUNTIF($S$7:$T$54,"=" &amp; AB41 &amp; "_draw")</f>
        <v>0</v>
      </c>
      <c r="AE41" s="55">
        <f>COUNTIF($S$7:$T$54,"=" &amp; AB41 &amp; "_lose")</f>
        <v>2</v>
      </c>
      <c r="AF41" s="55">
        <f>SUMIF($E$7:$E$54,$AB41,$F$7:$F$54) + SUMIF($H$7:$H$54,$AB41,$G$7:$G$54)</f>
        <v>3</v>
      </c>
      <c r="AG41" s="55">
        <f>SUMIF($E$7:$E$54,$AB41,$G$7:$G$54) + SUMIF($H$7:$H$54,$AB41,$F$7:$F$54)</f>
        <v>3</v>
      </c>
      <c r="AH41" s="55">
        <f>(AF41-AG41)*100+AK41*10000+AF41</f>
        <v>30003</v>
      </c>
      <c r="AI41" s="55">
        <f>AF41-AG41</f>
        <v>0</v>
      </c>
      <c r="AJ41" s="55">
        <f>(AI41-AI43)/AI42</f>
        <v>0.33333333333333331</v>
      </c>
      <c r="AK41" s="55">
        <f>AC41*3+AD41</f>
        <v>3</v>
      </c>
      <c r="AL41" s="55">
        <f>AP41/AP42*1000+AQ41/AQ42*100+AT41/AT42*10+AR41/AR42</f>
        <v>0</v>
      </c>
      <c r="AM41" s="55">
        <f>VLOOKUP(AB41,db_fifarank,2,FALSE)/2000000</f>
        <v>2.8499999999999999E-4</v>
      </c>
      <c r="AN41" s="56">
        <f>1000*AK41/AK42+100*AJ41+10*AF41/AF42+1*AL41/AL42+AM41</f>
        <v>790.83361833333333</v>
      </c>
      <c r="AP41" s="58">
        <f>SUMPRODUCT(($S$7:$S$54=AB41&amp;"_win")*($U$7:$U$54))+SUMPRODUCT(($T$7:$T$54=AB41&amp;"_win")*($U$7:$U$54))</f>
        <v>0</v>
      </c>
      <c r="AQ41" s="59">
        <f>SUMPRODUCT(($S$7:$S$54=AB41&amp;"_draw")*($U$7:$U$54))+SUMPRODUCT(($T$7:$T$54=AB41&amp;"_draw")*($U$7:$U$54))</f>
        <v>0</v>
      </c>
      <c r="AR41" s="59">
        <f>SUMPRODUCT(($E$7:$E$54=AB41)*($U$7:$U$54)*($F$7:$F$54))+SUMPRODUCT(($H$7:$H$54=AB41)*($U$7:$U$54)*($G$7:$G$54))</f>
        <v>0</v>
      </c>
      <c r="AS41" s="59">
        <f>SUMPRODUCT(($E$7:$E$54=AB41)*($U$7:$U$54)*($G$7:$G$54))+SUMPRODUCT(($H$7:$H$54=AB41)*($U$7:$U$54)*($F$7:$F$54))</f>
        <v>0</v>
      </c>
      <c r="AT41" s="59">
        <f>AR41-AS41</f>
        <v>0</v>
      </c>
      <c r="BJ41" s="120" t="str">
        <f>INDEX(T,102,lang)</f>
        <v>A labdarúgó-VB győztes csapata:</v>
      </c>
      <c r="BK41" s="120"/>
      <c r="BL41" s="120"/>
      <c r="BM41" s="120"/>
      <c r="BN41" s="120"/>
      <c r="BO41" s="122" t="str">
        <f>S85</f>
        <v/>
      </c>
      <c r="BP41" s="122"/>
      <c r="BQ41" s="122"/>
      <c r="BR41" s="122"/>
      <c r="BS41" s="122"/>
      <c r="BT41" s="122"/>
    </row>
    <row r="42" spans="1:72" ht="15" customHeight="1" x14ac:dyDescent="0.25">
      <c r="A42" s="18">
        <v>36</v>
      </c>
      <c r="B42" s="19" t="str">
        <f t="shared" si="0"/>
        <v>Hét</v>
      </c>
      <c r="C42" s="20" t="str">
        <f t="shared" si="1"/>
        <v>Jún 25, 2018</v>
      </c>
      <c r="D42" s="21">
        <f t="shared" si="8"/>
        <v>0.75</v>
      </c>
      <c r="E42" s="101" t="str">
        <f>AB15</f>
        <v>Spanyolország</v>
      </c>
      <c r="F42" s="22">
        <v>2</v>
      </c>
      <c r="G42" s="23">
        <v>2</v>
      </c>
      <c r="H42" s="104" t="str">
        <f>AB16</f>
        <v>Marokkó</v>
      </c>
      <c r="J42" s="68" t="str">
        <f>VLOOKUP(4,AA38:AK41,2,FALSE)</f>
        <v>Németország</v>
      </c>
      <c r="K42" s="69">
        <f>L42+M42+N42</f>
        <v>3</v>
      </c>
      <c r="L42" s="69">
        <f>VLOOKUP(4,AA38:AK41,3,FALSE)</f>
        <v>1</v>
      </c>
      <c r="M42" s="69">
        <f>VLOOKUP(4,AA38:AK41,4,FALSE)</f>
        <v>0</v>
      </c>
      <c r="N42" s="69">
        <f>VLOOKUP(4,AA38:AK41,5,FALSE)</f>
        <v>2</v>
      </c>
      <c r="O42" s="69" t="str">
        <f>VLOOKUP(4,AA38:AK41,6,FALSE) &amp; " - " &amp; VLOOKUP(4,AA38:AK41,7,FALSE)</f>
        <v>2 - 4</v>
      </c>
      <c r="P42" s="70">
        <f>L42*3+M42</f>
        <v>3</v>
      </c>
      <c r="R42" s="55">
        <f>DATE(2018,6,25)+TIME(7,0,0)+gmt_delta</f>
        <v>43276.75</v>
      </c>
      <c r="S42" s="62" t="str">
        <f t="shared" si="2"/>
        <v>Spanyolország_draw</v>
      </c>
      <c r="T42" s="62" t="str">
        <f t="shared" si="3"/>
        <v>Marokkó_draw</v>
      </c>
      <c r="U42" s="56">
        <f t="shared" si="4"/>
        <v>0</v>
      </c>
      <c r="V42" s="55">
        <f t="shared" si="5"/>
        <v>0</v>
      </c>
      <c r="W42" s="55">
        <f t="shared" si="6"/>
        <v>0</v>
      </c>
      <c r="X42" s="55">
        <f t="shared" si="7"/>
        <v>0</v>
      </c>
      <c r="Y42" s="55">
        <f t="shared" si="9"/>
        <v>0</v>
      </c>
      <c r="AC42" s="55">
        <f t="shared" ref="AC42:AL42" si="15">MAX(AC38:AC41)-MIN(AC38:AC41)+1</f>
        <v>2</v>
      </c>
      <c r="AD42" s="55">
        <f t="shared" si="15"/>
        <v>1</v>
      </c>
      <c r="AE42" s="55">
        <f t="shared" si="15"/>
        <v>2</v>
      </c>
      <c r="AF42" s="55">
        <f t="shared" si="15"/>
        <v>4</v>
      </c>
      <c r="AG42" s="55">
        <f t="shared" si="15"/>
        <v>3</v>
      </c>
      <c r="AH42" s="55">
        <f>MAX(AH38:AH41)-AH43+1</f>
        <v>30504</v>
      </c>
      <c r="AI42" s="55">
        <f>MAX(AI38:AI41)-AI43+1</f>
        <v>6</v>
      </c>
      <c r="AK42" s="55">
        <f t="shared" si="15"/>
        <v>4</v>
      </c>
      <c r="AL42" s="55">
        <f t="shared" si="15"/>
        <v>1</v>
      </c>
      <c r="AP42" s="55">
        <f>MAX(AP38:AP41)-MIN(AP38:AP41)+1</f>
        <v>1</v>
      </c>
      <c r="AQ42" s="55">
        <f>MAX(AQ38:AQ41)-MIN(AQ38:AQ41)+1</f>
        <v>1</v>
      </c>
      <c r="AR42" s="55">
        <f>MAX(AR38:AR41)-MIN(AR38:AR41)+1</f>
        <v>1</v>
      </c>
      <c r="AS42" s="55">
        <f>MAX(AS38:AS41)-MIN(AS38:AS41)+1</f>
        <v>1</v>
      </c>
      <c r="AT42" s="55">
        <f>MAX(AT38:AT41)-MIN(AT38:AT41)+1</f>
        <v>1</v>
      </c>
      <c r="BJ42" s="121"/>
      <c r="BK42" s="121"/>
      <c r="BL42" s="121"/>
      <c r="BM42" s="121"/>
      <c r="BN42" s="121"/>
      <c r="BO42" s="123"/>
      <c r="BP42" s="123"/>
      <c r="BQ42" s="123"/>
      <c r="BR42" s="123"/>
      <c r="BS42" s="123"/>
      <c r="BT42" s="123"/>
    </row>
    <row r="43" spans="1:72" ht="15" customHeight="1" x14ac:dyDescent="0.25">
      <c r="A43" s="18">
        <v>37</v>
      </c>
      <c r="B43" s="19" t="str">
        <f t="shared" si="0"/>
        <v>Ke</v>
      </c>
      <c r="C43" s="20" t="str">
        <f t="shared" si="1"/>
        <v>Jún 26, 2018</v>
      </c>
      <c r="D43" s="21">
        <f t="shared" si="8"/>
        <v>0.58333333333333337</v>
      </c>
      <c r="E43" s="101" t="str">
        <f>AB23</f>
        <v>Dánia</v>
      </c>
      <c r="F43" s="22">
        <v>0</v>
      </c>
      <c r="G43" s="23">
        <v>0</v>
      </c>
      <c r="H43" s="104" t="str">
        <f>AB20</f>
        <v>Franciaország</v>
      </c>
      <c r="R43" s="55">
        <f>DATE(2018,6,26)+TIME(3,0,0)+gmt_delta</f>
        <v>43277.583333333336</v>
      </c>
      <c r="S43" s="62" t="str">
        <f t="shared" si="2"/>
        <v>Dánia_draw</v>
      </c>
      <c r="T43" s="62" t="str">
        <f t="shared" si="3"/>
        <v>Franciaország_draw</v>
      </c>
      <c r="U43" s="56">
        <f t="shared" si="4"/>
        <v>0</v>
      </c>
      <c r="V43" s="55">
        <f t="shared" si="5"/>
        <v>0</v>
      </c>
      <c r="W43" s="55">
        <f t="shared" si="6"/>
        <v>0</v>
      </c>
      <c r="X43" s="55">
        <f t="shared" si="7"/>
        <v>0</v>
      </c>
      <c r="Y43" s="55">
        <f t="shared" si="9"/>
        <v>0</v>
      </c>
      <c r="AH43" s="55">
        <f>MIN(AH38:AH41)</f>
        <v>29802</v>
      </c>
      <c r="AI43" s="55">
        <f>MIN(AI38:AI41)</f>
        <v>-2</v>
      </c>
      <c r="AY43" s="74"/>
    </row>
    <row r="44" spans="1:72" ht="15" customHeight="1" x14ac:dyDescent="0.25">
      <c r="A44" s="18">
        <v>38</v>
      </c>
      <c r="B44" s="19" t="str">
        <f t="shared" si="0"/>
        <v>Ke</v>
      </c>
      <c r="C44" s="20" t="str">
        <f t="shared" si="1"/>
        <v>Jún 26, 2018</v>
      </c>
      <c r="D44" s="21">
        <f t="shared" si="8"/>
        <v>0.58333333333333337</v>
      </c>
      <c r="E44" s="101" t="str">
        <f>AB21</f>
        <v>Ausztrália</v>
      </c>
      <c r="F44" s="22">
        <v>0</v>
      </c>
      <c r="G44" s="23">
        <v>2</v>
      </c>
      <c r="H44" s="104" t="str">
        <f>AB22</f>
        <v>Peru</v>
      </c>
      <c r="J44" s="71" t="str">
        <f>INDEX(T,9,lang) &amp; " " &amp; "G"</f>
        <v>Csoport G</v>
      </c>
      <c r="K44" s="72" t="str">
        <f>INDEX(T,10,lang)</f>
        <v>M</v>
      </c>
      <c r="L44" s="72" t="str">
        <f>INDEX(T,11,lang)</f>
        <v>GY</v>
      </c>
      <c r="M44" s="72" t="str">
        <f>INDEX(T,12,lang)</f>
        <v>D</v>
      </c>
      <c r="N44" s="72" t="str">
        <f>INDEX(T,13,lang)</f>
        <v>V</v>
      </c>
      <c r="O44" s="72" t="str">
        <f>INDEX(T,14,lang)</f>
        <v>Gólkül.</v>
      </c>
      <c r="P44" s="73" t="str">
        <f>INDEX(T,15,lang)</f>
        <v>PNT</v>
      </c>
      <c r="R44" s="55">
        <f>DATE(2018,6,26)+TIME(3,0,0)+gmt_delta</f>
        <v>43277.583333333336</v>
      </c>
      <c r="S44" s="62" t="str">
        <f t="shared" si="2"/>
        <v>Ausztrália_lose</v>
      </c>
      <c r="T44" s="62" t="str">
        <f t="shared" si="3"/>
        <v>Peru_win</v>
      </c>
      <c r="U44" s="56">
        <f t="shared" si="4"/>
        <v>0</v>
      </c>
      <c r="V44" s="55">
        <f t="shared" si="5"/>
        <v>0</v>
      </c>
      <c r="W44" s="55">
        <f t="shared" si="6"/>
        <v>0</v>
      </c>
      <c r="X44" s="55">
        <f t="shared" si="7"/>
        <v>0</v>
      </c>
      <c r="Y44" s="55">
        <f t="shared" si="9"/>
        <v>-1</v>
      </c>
      <c r="AA44" s="55">
        <f>COUNTIF(AN44:AN47,CONCATENATE("&gt;=",AN44))</f>
        <v>1</v>
      </c>
      <c r="AB44" s="56" t="str">
        <f>VLOOKUP("Belgium",T,lang,FALSE)</f>
        <v>Belgium</v>
      </c>
      <c r="AC44" s="55">
        <f>COUNTIF($S$7:$T$54,"=" &amp; AB44 &amp; "_win")</f>
        <v>3</v>
      </c>
      <c r="AD44" s="55">
        <f>COUNTIF($S$7:$T$54,"=" &amp; AB44 &amp; "_draw")</f>
        <v>0</v>
      </c>
      <c r="AE44" s="55">
        <f>COUNTIF($S$7:$T$54,"=" &amp; AB44 &amp; "_lose")</f>
        <v>0</v>
      </c>
      <c r="AF44" s="55">
        <f>SUMIF($E$7:$E$54,$AB44,$F$7:$F$54) + SUMIF($H$7:$H$54,$AB44,$G$7:$G$54)</f>
        <v>9</v>
      </c>
      <c r="AG44" s="55">
        <f>SUMIF($E$7:$E$54,$AB44,$G$7:$G$54) + SUMIF($H$7:$H$54,$AB44,$F$7:$F$54)</f>
        <v>2</v>
      </c>
      <c r="AH44" s="55">
        <f>(AF44-AG44)*100+AK44*10000+AF44</f>
        <v>90709</v>
      </c>
      <c r="AI44" s="55">
        <f>AF44-AG44</f>
        <v>7</v>
      </c>
      <c r="AJ44" s="55">
        <f>(AI44-AI49)/AI48</f>
        <v>0.94117647058823528</v>
      </c>
      <c r="AK44" s="55">
        <f>AC44*3+AD44</f>
        <v>9</v>
      </c>
      <c r="AL44" s="55">
        <f>AP44/AP48*1000+AQ44/AQ48*100+AT44/AT48*10+AR44/AR48</f>
        <v>0</v>
      </c>
      <c r="AM44" s="55">
        <f>VLOOKUP(AB44,db_fifarank,2,FALSE)/2000000</f>
        <v>6.625E-4</v>
      </c>
      <c r="AN44" s="56">
        <f>1000*AK44/AK48+100*AJ44+10*AF44/AF48+1*AL44/AL48+AM44</f>
        <v>1005.3683095588235</v>
      </c>
      <c r="AO44" s="57" t="str">
        <f>IF(SUM(AC44:AE47)=12,J45,INDEX(T,82,lang))</f>
        <v>Belgium</v>
      </c>
      <c r="AP44" s="58">
        <f>SUMPRODUCT(($S$7:$S$54=AB44&amp;"_win")*($U$7:$U$54))+SUMPRODUCT(($T$7:$T$54=AB44&amp;"_win")*($U$7:$U$54))</f>
        <v>0</v>
      </c>
      <c r="AQ44" s="59">
        <f>SUMPRODUCT(($S$7:$S$54=AB44&amp;"_draw")*($U$7:$U$54))+SUMPRODUCT(($T$7:$T$54=AB44&amp;"_draw")*($U$7:$U$54))</f>
        <v>0</v>
      </c>
      <c r="AR44" s="59">
        <f>SUMPRODUCT(($E$7:$E$54=AB44)*($U$7:$U$54)*($F$7:$F$54))+SUMPRODUCT(($H$7:$H$54=AB44)*($U$7:$U$54)*($G$7:$G$54))</f>
        <v>0</v>
      </c>
      <c r="AS44" s="59">
        <f>SUMPRODUCT(($E$7:$E$54=AB44)*($U$7:$U$54)*($G$7:$G$54))+SUMPRODUCT(($H$7:$H$54=AB44)*($U$7:$U$54)*($F$7:$F$54))</f>
        <v>0</v>
      </c>
      <c r="AT44" s="59">
        <f>AR44-AS44</f>
        <v>0</v>
      </c>
    </row>
    <row r="45" spans="1:72" ht="15" customHeight="1" x14ac:dyDescent="0.25">
      <c r="A45" s="18">
        <v>39</v>
      </c>
      <c r="B45" s="19" t="str">
        <f t="shared" si="0"/>
        <v>Ke</v>
      </c>
      <c r="C45" s="20" t="str">
        <f t="shared" si="1"/>
        <v>Jún 26, 2018</v>
      </c>
      <c r="D45" s="21">
        <f t="shared" si="8"/>
        <v>0.75</v>
      </c>
      <c r="E45" s="101" t="str">
        <f>AB29</f>
        <v>Nigéria</v>
      </c>
      <c r="F45" s="22">
        <v>1</v>
      </c>
      <c r="G45" s="23">
        <v>2</v>
      </c>
      <c r="H45" s="104" t="str">
        <f>AB26</f>
        <v>Argentína</v>
      </c>
      <c r="J45" s="63" t="str">
        <f>VLOOKUP(1,AA44:AK47,2,FALSE)</f>
        <v>Belgium</v>
      </c>
      <c r="K45" s="64">
        <f>L45+M45+N45</f>
        <v>3</v>
      </c>
      <c r="L45" s="64">
        <f>VLOOKUP(1,AA44:AK47,3,FALSE)</f>
        <v>3</v>
      </c>
      <c r="M45" s="64">
        <f>VLOOKUP(1,AA44:AK47,4,FALSE)</f>
        <v>0</v>
      </c>
      <c r="N45" s="64">
        <f>VLOOKUP(1,AA44:AK47,5,FALSE)</f>
        <v>0</v>
      </c>
      <c r="O45" s="64" t="str">
        <f>VLOOKUP(1,AA44:AK47,6,FALSE) &amp; " - " &amp; VLOOKUP(1,AA44:AK47,7,FALSE)</f>
        <v>9 - 2</v>
      </c>
      <c r="P45" s="65">
        <f>L45*3+M45</f>
        <v>9</v>
      </c>
      <c r="R45" s="55">
        <f>DATE(2018,6,26)+TIME(7,0,0)+gmt_delta</f>
        <v>43277.75</v>
      </c>
      <c r="S45" s="62" t="str">
        <f t="shared" si="2"/>
        <v>Nigéria_lose</v>
      </c>
      <c r="T45" s="62" t="str">
        <f t="shared" si="3"/>
        <v>Argentína_win</v>
      </c>
      <c r="U45" s="56">
        <f t="shared" si="4"/>
        <v>0</v>
      </c>
      <c r="V45" s="55">
        <f t="shared" si="5"/>
        <v>0</v>
      </c>
      <c r="W45" s="55">
        <f t="shared" si="6"/>
        <v>0</v>
      </c>
      <c r="X45" s="55">
        <f t="shared" si="7"/>
        <v>1</v>
      </c>
      <c r="Y45" s="55">
        <f t="shared" si="9"/>
        <v>-1</v>
      </c>
      <c r="AA45" s="55">
        <f>COUNTIF(AN44:AN47,CONCATENATE("&gt;=",AN45))</f>
        <v>4</v>
      </c>
      <c r="AB45" s="56" t="str">
        <f>VLOOKUP("Panama",T,lang,FALSE)</f>
        <v>Panama</v>
      </c>
      <c r="AC45" s="55">
        <f>COUNTIF($S$7:$T$54,"=" &amp; AB45 &amp; "_win")</f>
        <v>0</v>
      </c>
      <c r="AD45" s="55">
        <f>COUNTIF($S$7:$T$54,"=" &amp; AB45 &amp; "_draw")</f>
        <v>0</v>
      </c>
      <c r="AE45" s="55">
        <f>COUNTIF($S$7:$T$54,"=" &amp; AB45 &amp; "_lose")</f>
        <v>3</v>
      </c>
      <c r="AF45" s="55">
        <f>SUMIF($E$7:$E$54,$AB45,$F$7:$F$54) + SUMIF($H$7:$H$54,$AB45,$G$7:$G$54)</f>
        <v>2</v>
      </c>
      <c r="AG45" s="55">
        <f>SUMIF($E$7:$E$54,$AB45,$G$7:$G$54) + SUMIF($H$7:$H$54,$AB45,$F$7:$F$54)</f>
        <v>11</v>
      </c>
      <c r="AH45" s="55">
        <f>(AF45-AG45)*100+AK45*10000+AF45</f>
        <v>-898</v>
      </c>
      <c r="AI45" s="55">
        <f>AF45-AG45</f>
        <v>-9</v>
      </c>
      <c r="AJ45" s="55">
        <f>(AI45-AI49)/AI48</f>
        <v>0</v>
      </c>
      <c r="AK45" s="55">
        <f>AC45*3+AD45</f>
        <v>0</v>
      </c>
      <c r="AL45" s="55">
        <f>AP45/AP48*1000+AQ45/AQ48*100+AT45/AT48*10+AR45/AR48</f>
        <v>0</v>
      </c>
      <c r="AM45" s="55">
        <f>VLOOKUP(AB45,db_fifarank,2,FALSE)/2000000</f>
        <v>3.1050000000000001E-4</v>
      </c>
      <c r="AN45" s="56">
        <f>1000*AK45/AK48+100*AJ45+10*AF45/AF48+1*AL45/AL48+AM45</f>
        <v>2.5003104999999999</v>
      </c>
      <c r="AO45" s="57" t="str">
        <f>IF(SUM(AC44:AE47)=12,J46,INDEX(T,83,lang))</f>
        <v>Anglia</v>
      </c>
      <c r="AP45" s="58">
        <f>SUMPRODUCT(($S$7:$S$54=AB45&amp;"_win")*($U$7:$U$54))+SUMPRODUCT(($T$7:$T$54=AB45&amp;"_win")*($U$7:$U$54))</f>
        <v>0</v>
      </c>
      <c r="AQ45" s="59">
        <f>SUMPRODUCT(($S$7:$S$54=AB45&amp;"_draw")*($U$7:$U$54))+SUMPRODUCT(($T$7:$T$54=AB45&amp;"_draw")*($U$7:$U$54))</f>
        <v>0</v>
      </c>
      <c r="AR45" s="59">
        <f>SUMPRODUCT(($E$7:$E$54=AB45)*($U$7:$U$54)*($F$7:$F$54))+SUMPRODUCT(($H$7:$H$54=AB45)*($U$7:$U$54)*($G$7:$G$54))</f>
        <v>0</v>
      </c>
      <c r="AS45" s="59">
        <f>SUMPRODUCT(($E$7:$E$54=AB45)*($U$7:$U$54)*($G$7:$G$54))+SUMPRODUCT(($H$7:$H$54=AB45)*($U$7:$U$54)*($F$7:$F$54))</f>
        <v>0</v>
      </c>
      <c r="AT45" s="59">
        <f>AR45-AS45</f>
        <v>0</v>
      </c>
    </row>
    <row r="46" spans="1:72" ht="15" customHeight="1" x14ac:dyDescent="0.25">
      <c r="A46" s="18">
        <v>40</v>
      </c>
      <c r="B46" s="19" t="str">
        <f t="shared" si="0"/>
        <v>Ke</v>
      </c>
      <c r="C46" s="20" t="str">
        <f t="shared" si="1"/>
        <v>Jún 26, 2018</v>
      </c>
      <c r="D46" s="21">
        <f t="shared" si="8"/>
        <v>0.75</v>
      </c>
      <c r="E46" s="101" t="str">
        <f>AB27</f>
        <v>Izland</v>
      </c>
      <c r="F46" s="22">
        <v>1</v>
      </c>
      <c r="G46" s="23">
        <v>2</v>
      </c>
      <c r="H46" s="104" t="str">
        <f>AB28</f>
        <v>Horvátország</v>
      </c>
      <c r="J46" s="66" t="str">
        <f>VLOOKUP(2,AA44:AK47,2,FALSE)</f>
        <v>Anglia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67">
        <f>L46*3+M46</f>
        <v>6</v>
      </c>
      <c r="R46" s="55">
        <f>DATE(2018,6,26)+TIME(7,0,0)+gmt_delta</f>
        <v>43277.75</v>
      </c>
      <c r="S46" s="62" t="str">
        <f t="shared" si="2"/>
        <v>Izland_lose</v>
      </c>
      <c r="T46" s="62" t="str">
        <f t="shared" si="3"/>
        <v>Horvátország_win</v>
      </c>
      <c r="U46" s="56">
        <f t="shared" si="4"/>
        <v>0</v>
      </c>
      <c r="V46" s="55">
        <f t="shared" si="5"/>
        <v>0</v>
      </c>
      <c r="W46" s="55">
        <f t="shared" si="6"/>
        <v>0</v>
      </c>
      <c r="X46" s="55">
        <f t="shared" si="7"/>
        <v>0</v>
      </c>
      <c r="Y46" s="55">
        <f t="shared" si="9"/>
        <v>-1</v>
      </c>
      <c r="AA46" s="55">
        <f>COUNTIF(AN44:AN47,CONCATENATE("&gt;=",AN46))</f>
        <v>3</v>
      </c>
      <c r="AB46" s="56" t="str">
        <f>VLOOKUP("Tunisia",T,lang,FALSE)</f>
        <v>Tunézia</v>
      </c>
      <c r="AC46" s="55">
        <f>COUNTIF($S$7:$T$54,"=" &amp; AB46 &amp; "_win")</f>
        <v>1</v>
      </c>
      <c r="AD46" s="55">
        <f>COUNTIF($S$7:$T$54,"=" &amp; AB46 &amp; "_draw")</f>
        <v>0</v>
      </c>
      <c r="AE46" s="55">
        <f>COUNTIF($S$7:$T$54,"=" &amp; AB46 &amp; "_lose")</f>
        <v>2</v>
      </c>
      <c r="AF46" s="55">
        <f>SUMIF($E$7:$E$54,$AB46,$F$7:$F$54) + SUMIF($H$7:$H$54,$AB46,$G$7:$G$54)</f>
        <v>5</v>
      </c>
      <c r="AG46" s="55">
        <f>SUMIF($E$7:$E$54,$AB46,$G$7:$G$54) + SUMIF($H$7:$H$54,$AB46,$F$7:$F$54)</f>
        <v>8</v>
      </c>
      <c r="AH46" s="55">
        <f>(AF46-AG46)*100+AK46*10000+AF46</f>
        <v>29705</v>
      </c>
      <c r="AI46" s="55">
        <f>AF46-AG46</f>
        <v>-3</v>
      </c>
      <c r="AJ46" s="55">
        <f>(AI46-AI49)/AI48</f>
        <v>0.35294117647058826</v>
      </c>
      <c r="AK46" s="55">
        <f>AC46*3+AD46</f>
        <v>3</v>
      </c>
      <c r="AL46" s="55">
        <f>AP46/AP48*1000+AQ46/AQ48*100+AT46/AT48*10+AR46/AR48</f>
        <v>0</v>
      </c>
      <c r="AM46" s="55">
        <f>VLOOKUP(AB46,db_fifarank,2,FALSE)/2000000</f>
        <v>4.1899999999999999E-4</v>
      </c>
      <c r="AN46" s="56">
        <f>1000*AK46/AK48+100*AJ46+10*AF46/AF48+1*AL46/AL48+AM46</f>
        <v>341.54453664705886</v>
      </c>
      <c r="AP46" s="58">
        <f>SUMPRODUCT(($S$7:$S$54=AB46&amp;"_win")*($U$7:$U$54))+SUMPRODUCT(($T$7:$T$54=AB46&amp;"_win")*($U$7:$U$54))</f>
        <v>0</v>
      </c>
      <c r="AQ46" s="59">
        <f>SUMPRODUCT(($S$7:$S$54=AB46&amp;"_draw")*($U$7:$U$54))+SUMPRODUCT(($T$7:$T$54=AB46&amp;"_draw")*($U$7:$U$54))</f>
        <v>0</v>
      </c>
      <c r="AR46" s="59">
        <f>SUMPRODUCT(($E$7:$E$54=AB46)*($U$7:$U$54)*($F$7:$F$54))+SUMPRODUCT(($H$7:$H$54=AB46)*($U$7:$U$54)*($G$7:$G$54))</f>
        <v>0</v>
      </c>
      <c r="AS46" s="59">
        <f>SUMPRODUCT(($E$7:$E$54=AB46)*($U$7:$U$54)*($G$7:$G$54))+SUMPRODUCT(($H$7:$H$54=AB46)*($U$7:$U$54)*($F$7:$F$54))</f>
        <v>0</v>
      </c>
      <c r="AT46" s="59">
        <f>AR46-AS46</f>
        <v>0</v>
      </c>
      <c r="AY46" s="109" t="s">
        <v>2223</v>
      </c>
      <c r="AZ46" s="110"/>
      <c r="BA46" s="110"/>
      <c r="BB46" s="111"/>
    </row>
    <row r="47" spans="1:72" ht="15" customHeight="1" x14ac:dyDescent="0.25">
      <c r="A47" s="18">
        <v>41</v>
      </c>
      <c r="B47" s="19" t="str">
        <f t="shared" si="0"/>
        <v>Sze</v>
      </c>
      <c r="C47" s="20" t="str">
        <f t="shared" si="1"/>
        <v>Jún 27, 2018</v>
      </c>
      <c r="D47" s="21">
        <f t="shared" si="8"/>
        <v>0.75</v>
      </c>
      <c r="E47" s="101" t="str">
        <f>AB35</f>
        <v>Szerbia</v>
      </c>
      <c r="F47" s="22">
        <v>0</v>
      </c>
      <c r="G47" s="23">
        <v>2</v>
      </c>
      <c r="H47" s="104" t="str">
        <f>AB32</f>
        <v>Brazília</v>
      </c>
      <c r="J47" s="66" t="str">
        <f>VLOOKUP(3,AA44:AK47,2,FALSE)</f>
        <v>Tunézia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67">
        <f>L47*3+M47</f>
        <v>3</v>
      </c>
      <c r="R47" s="55">
        <f>DATE(2018,6,27)+TIME(7,0,0)+gmt_delta</f>
        <v>43278.75</v>
      </c>
      <c r="S47" s="62" t="str">
        <f t="shared" si="2"/>
        <v>Szerbia_lose</v>
      </c>
      <c r="T47" s="62" t="str">
        <f t="shared" si="3"/>
        <v>Brazília_win</v>
      </c>
      <c r="U47" s="56">
        <f t="shared" si="4"/>
        <v>0</v>
      </c>
      <c r="V47" s="55">
        <f t="shared" si="5"/>
        <v>0</v>
      </c>
      <c r="W47" s="55">
        <f t="shared" si="6"/>
        <v>0</v>
      </c>
      <c r="X47" s="55">
        <f t="shared" si="7"/>
        <v>0</v>
      </c>
      <c r="Y47" s="55">
        <f t="shared" si="9"/>
        <v>-1</v>
      </c>
      <c r="AA47" s="55">
        <f>COUNTIF(AN44:AN47,CONCATENATE("&gt;=",AN47))</f>
        <v>2</v>
      </c>
      <c r="AB47" s="56" t="str">
        <f>VLOOKUP("England",T,lang,FALSE)</f>
        <v>Anglia</v>
      </c>
      <c r="AC47" s="55">
        <f>COUNTIF($S$7:$T$54,"=" &amp; AB47 &amp; "_win")</f>
        <v>2</v>
      </c>
      <c r="AD47" s="55">
        <f>COUNTIF($S$7:$T$54,"=" &amp; AB47 &amp; "_draw")</f>
        <v>0</v>
      </c>
      <c r="AE47" s="55">
        <f>COUNTIF($S$7:$T$54,"=" &amp; AB47 &amp; "_lose")</f>
        <v>1</v>
      </c>
      <c r="AF47" s="55">
        <f>SUMIF($E$7:$E$54,$AB47,$F$7:$F$54) + SUMIF($H$7:$H$54,$AB47,$G$7:$G$54)</f>
        <v>8</v>
      </c>
      <c r="AG47" s="55">
        <f>SUMIF($E$7:$E$54,$AB47,$G$7:$G$54) + SUMIF($H$7:$H$54,$AB47,$F$7:$F$54)</f>
        <v>3</v>
      </c>
      <c r="AH47" s="55">
        <f>(AF47-AG47)*100+AK47*10000+AF47</f>
        <v>60508</v>
      </c>
      <c r="AI47" s="55">
        <f>AF47-AG47</f>
        <v>5</v>
      </c>
      <c r="AJ47" s="55">
        <f>(AI47-AI49)/AI48</f>
        <v>0.82352941176470584</v>
      </c>
      <c r="AK47" s="55">
        <f>AC47*3+AD47</f>
        <v>6</v>
      </c>
      <c r="AL47" s="55">
        <f>AP47/AP48*1000+AQ47/AQ48*100+AT47/AT48*10+AR47/AR48</f>
        <v>0</v>
      </c>
      <c r="AM47" s="55">
        <f>VLOOKUP(AB47,db_fifarank,2,FALSE)/2000000</f>
        <v>5.2349999999999999E-4</v>
      </c>
      <c r="AN47" s="56">
        <f>1000*AK47/AK48+100*AJ47+10*AF47/AF48+1*AL47/AL48+AM47</f>
        <v>692.35346467647059</v>
      </c>
      <c r="AP47" s="58">
        <f>SUMPRODUCT(($S$7:$S$54=AB47&amp;"_win")*($U$7:$U$54))+SUMPRODUCT(($T$7:$T$54=AB47&amp;"_win")*($U$7:$U$54))</f>
        <v>0</v>
      </c>
      <c r="AQ47" s="59">
        <f>SUMPRODUCT(($S$7:$S$54=AB47&amp;"_draw")*($U$7:$U$54))+SUMPRODUCT(($T$7:$T$54=AB47&amp;"_draw")*($U$7:$U$54))</f>
        <v>0</v>
      </c>
      <c r="AR47" s="59">
        <f>SUMPRODUCT(($E$7:$E$54=AB47)*($U$7:$U$54)*($F$7:$F$54))+SUMPRODUCT(($H$7:$H$54=AB47)*($U$7:$U$54)*($G$7:$G$54))</f>
        <v>0</v>
      </c>
      <c r="AS47" s="59">
        <f>SUMPRODUCT(($E$7:$E$54=AB47)*($U$7:$U$54)*($G$7:$G$54))+SUMPRODUCT(($H$7:$H$54=AB47)*($U$7:$U$54)*($F$7:$F$54))</f>
        <v>0</v>
      </c>
      <c r="AT47" s="59">
        <f>AR47-AS47</f>
        <v>0</v>
      </c>
      <c r="AY47" s="112"/>
      <c r="AZ47" s="113"/>
      <c r="BA47" s="113"/>
      <c r="BB47" s="114"/>
    </row>
    <row r="48" spans="1:72" ht="15" customHeight="1" x14ac:dyDescent="0.25">
      <c r="A48" s="18">
        <v>42</v>
      </c>
      <c r="B48" s="19" t="str">
        <f t="shared" si="0"/>
        <v>Sze</v>
      </c>
      <c r="C48" s="20" t="str">
        <f t="shared" si="1"/>
        <v>Jún 27, 2018</v>
      </c>
      <c r="D48" s="21">
        <f t="shared" si="8"/>
        <v>0.75</v>
      </c>
      <c r="E48" s="101" t="str">
        <f>AB33</f>
        <v>Svájc</v>
      </c>
      <c r="F48" s="22">
        <v>2</v>
      </c>
      <c r="G48" s="23">
        <v>2</v>
      </c>
      <c r="H48" s="104" t="str">
        <f>AB34</f>
        <v>Costa Rica</v>
      </c>
      <c r="J48" s="68" t="str">
        <f>VLOOKUP(4,AA44:AK47,2,FALSE)</f>
        <v>Panama</v>
      </c>
      <c r="K48" s="69">
        <f>L48+M48+N48</f>
        <v>3</v>
      </c>
      <c r="L48" s="69">
        <f>VLOOKUP(4,AA44:AK47,3,FALSE)</f>
        <v>0</v>
      </c>
      <c r="M48" s="69">
        <f>VLOOKUP(4,AA44:AK47,4,FALSE)</f>
        <v>0</v>
      </c>
      <c r="N48" s="69">
        <f>VLOOKUP(4,AA44:AK47,5,FALSE)</f>
        <v>3</v>
      </c>
      <c r="O48" s="69" t="str">
        <f>VLOOKUP(4,AA44:AK47,6,FALSE) &amp; " - " &amp; VLOOKUP(4,AA44:AK47,7,FALSE)</f>
        <v>2 - 11</v>
      </c>
      <c r="P48" s="70">
        <f>L48*3+M48</f>
        <v>0</v>
      </c>
      <c r="R48" s="55">
        <f>DATE(2018,6,27)+TIME(7,0,0)+gmt_delta</f>
        <v>43278.75</v>
      </c>
      <c r="S48" s="62" t="str">
        <f t="shared" si="2"/>
        <v>Svájc_draw</v>
      </c>
      <c r="T48" s="62" t="str">
        <f t="shared" si="3"/>
        <v>Costa Rica_draw</v>
      </c>
      <c r="U48" s="56">
        <f t="shared" si="4"/>
        <v>0</v>
      </c>
      <c r="V48" s="55">
        <f t="shared" si="5"/>
        <v>0</v>
      </c>
      <c r="W48" s="55">
        <f t="shared" si="6"/>
        <v>0</v>
      </c>
      <c r="X48" s="55">
        <f t="shared" si="7"/>
        <v>0</v>
      </c>
      <c r="Y48" s="55">
        <f t="shared" si="9"/>
        <v>0</v>
      </c>
      <c r="AC48" s="55">
        <f t="shared" ref="AC48:AL48" si="16">MAX(AC44:AC47)-MIN(AC44:AC47)+1</f>
        <v>4</v>
      </c>
      <c r="AD48" s="55">
        <f t="shared" si="16"/>
        <v>1</v>
      </c>
      <c r="AE48" s="55">
        <f t="shared" si="16"/>
        <v>4</v>
      </c>
      <c r="AF48" s="55">
        <f t="shared" si="16"/>
        <v>8</v>
      </c>
      <c r="AG48" s="55">
        <f t="shared" si="16"/>
        <v>10</v>
      </c>
      <c r="AH48" s="55">
        <f>MAX(AH44:AH47)-AH49+1</f>
        <v>91608</v>
      </c>
      <c r="AI48" s="55">
        <f>MAX(AI44:AI47)-AI49+1</f>
        <v>17</v>
      </c>
      <c r="AK48" s="55">
        <f t="shared" si="16"/>
        <v>10</v>
      </c>
      <c r="AL48" s="55">
        <f t="shared" si="16"/>
        <v>1</v>
      </c>
      <c r="AP48" s="55">
        <f>MAX(AP44:AP47)-MIN(AP44:AP47)+1</f>
        <v>1</v>
      </c>
      <c r="AQ48" s="55">
        <f>MAX(AQ44:AQ47)-MIN(AQ44:AQ47)+1</f>
        <v>1</v>
      </c>
      <c r="AR48" s="55">
        <f>MAX(AR44:AR47)-MIN(AR44:AR47)+1</f>
        <v>1</v>
      </c>
      <c r="AS48" s="55">
        <f>MAX(AS44:AS47)-MIN(AS44:AS47)+1</f>
        <v>1</v>
      </c>
      <c r="AT48" s="55">
        <f>MAX(AT44:AT47)-MIN(AT44:AT47)+1</f>
        <v>1</v>
      </c>
      <c r="AY48" s="112"/>
      <c r="AZ48" s="113"/>
      <c r="BA48" s="113"/>
      <c r="BB48" s="114"/>
    </row>
    <row r="49" spans="1:54" ht="15" customHeight="1" x14ac:dyDescent="0.25">
      <c r="A49" s="18">
        <v>43</v>
      </c>
      <c r="B49" s="19" t="str">
        <f t="shared" si="0"/>
        <v>Sze</v>
      </c>
      <c r="C49" s="20" t="str">
        <f t="shared" si="1"/>
        <v>Jún 27, 2018</v>
      </c>
      <c r="D49" s="21">
        <f t="shared" si="8"/>
        <v>0.58333333333333337</v>
      </c>
      <c r="E49" s="101" t="str">
        <f>AB41</f>
        <v>Dél-Korea</v>
      </c>
      <c r="F49" s="22">
        <v>2</v>
      </c>
      <c r="G49" s="23">
        <v>0</v>
      </c>
      <c r="H49" s="104" t="str">
        <f>AB38</f>
        <v>Németország</v>
      </c>
      <c r="R49" s="55">
        <f>DATE(2018,6,27)+TIME(3,0,0)+gmt_delta</f>
        <v>43278.583333333336</v>
      </c>
      <c r="S49" s="62" t="str">
        <f t="shared" si="2"/>
        <v>Dél-Korea_win</v>
      </c>
      <c r="T49" s="62" t="str">
        <f t="shared" si="3"/>
        <v>Németország_lose</v>
      </c>
      <c r="U49" s="56">
        <f t="shared" si="4"/>
        <v>0</v>
      </c>
      <c r="V49" s="55">
        <f t="shared" si="5"/>
        <v>0</v>
      </c>
      <c r="W49" s="55">
        <f t="shared" si="6"/>
        <v>0</v>
      </c>
      <c r="X49" s="55">
        <f t="shared" si="7"/>
        <v>0</v>
      </c>
      <c r="Y49" s="55">
        <f t="shared" si="9"/>
        <v>1</v>
      </c>
      <c r="AH49" s="55">
        <f>MIN(AH44:AH47)</f>
        <v>-898</v>
      </c>
      <c r="AI49" s="55">
        <f>MIN(AI44:AI47)</f>
        <v>-9</v>
      </c>
      <c r="AY49" s="112"/>
      <c r="AZ49" s="113"/>
      <c r="BA49" s="113"/>
      <c r="BB49" s="114"/>
    </row>
    <row r="50" spans="1:54" ht="15" customHeight="1" x14ac:dyDescent="0.25">
      <c r="A50" s="18">
        <v>44</v>
      </c>
      <c r="B50" s="19" t="str">
        <f t="shared" si="0"/>
        <v>Sze</v>
      </c>
      <c r="C50" s="20" t="str">
        <f t="shared" si="1"/>
        <v>Jún 27, 2018</v>
      </c>
      <c r="D50" s="21">
        <f t="shared" si="8"/>
        <v>0.58333333333333337</v>
      </c>
      <c r="E50" s="101" t="str">
        <f>AB39</f>
        <v>Mexikó</v>
      </c>
      <c r="F50" s="22">
        <v>0</v>
      </c>
      <c r="G50" s="23">
        <v>3</v>
      </c>
      <c r="H50" s="104" t="str">
        <f>AB40</f>
        <v>Svédország</v>
      </c>
      <c r="J50" s="71" t="str">
        <f>INDEX(T,9,lang) &amp; " " &amp; "H"</f>
        <v>Csoport H</v>
      </c>
      <c r="K50" s="72" t="str">
        <f>INDEX(T,10,lang)</f>
        <v>M</v>
      </c>
      <c r="L50" s="72" t="str">
        <f>INDEX(T,11,lang)</f>
        <v>GY</v>
      </c>
      <c r="M50" s="72" t="str">
        <f>INDEX(T,12,lang)</f>
        <v>D</v>
      </c>
      <c r="N50" s="72" t="str">
        <f>INDEX(T,13,lang)</f>
        <v>V</v>
      </c>
      <c r="O50" s="72" t="str">
        <f>INDEX(T,14,lang)</f>
        <v>Gólkül.</v>
      </c>
      <c r="P50" s="73" t="str">
        <f>INDEX(T,15,lang)</f>
        <v>PNT</v>
      </c>
      <c r="R50" s="55">
        <f>DATE(2018,6,27)+TIME(3,0,0)+gmt_delta</f>
        <v>43278.583333333336</v>
      </c>
      <c r="S50" s="62" t="str">
        <f t="shared" si="2"/>
        <v>Mexikó_lose</v>
      </c>
      <c r="T50" s="62" t="str">
        <f t="shared" si="3"/>
        <v>Svédország_win</v>
      </c>
      <c r="U50" s="56">
        <f t="shared" si="4"/>
        <v>0</v>
      </c>
      <c r="V50" s="55">
        <f t="shared" si="5"/>
        <v>0</v>
      </c>
      <c r="W50" s="55">
        <f t="shared" si="6"/>
        <v>0</v>
      </c>
      <c r="X50" s="55">
        <f t="shared" si="7"/>
        <v>0</v>
      </c>
      <c r="Y50" s="55">
        <f t="shared" si="9"/>
        <v>-1</v>
      </c>
      <c r="AA50" s="55">
        <f>COUNTIF(AN50:AN53,CONCATENATE("&gt;=",AN50))</f>
        <v>4</v>
      </c>
      <c r="AB50" s="56" t="str">
        <f>VLOOKUP("Poland",T,lang,FALSE)</f>
        <v>Lengyelország</v>
      </c>
      <c r="AC50" s="55">
        <f>COUNTIF($S$7:$T$54,"=" &amp; AB50 &amp; "_win")</f>
        <v>1</v>
      </c>
      <c r="AD50" s="55">
        <f>COUNTIF($S$7:$T$54,"=" &amp; AB50 &amp; "_draw")</f>
        <v>0</v>
      </c>
      <c r="AE50" s="55">
        <f>COUNTIF($S$7:$T$54,"=" &amp; AB50 &amp; "_lose")</f>
        <v>2</v>
      </c>
      <c r="AF50" s="55">
        <f>SUMIF($E$7:$E$54,$AB50,$F$7:$F$54) + SUMIF($H$7:$H$54,$AB50,$G$7:$G$54)</f>
        <v>2</v>
      </c>
      <c r="AG50" s="55">
        <f>SUMIF($E$7:$E$54,$AB50,$G$7:$G$54) + SUMIF($H$7:$H$54,$AB50,$F$7:$F$54)</f>
        <v>5</v>
      </c>
      <c r="AH50" s="55">
        <f>(AF50-AG50)*100+AK50*10000+AF50</f>
        <v>29702</v>
      </c>
      <c r="AI50" s="55">
        <f>AF50-AG50</f>
        <v>-3</v>
      </c>
      <c r="AJ50" s="55">
        <f>(AI50-AI55)/AI54</f>
        <v>0</v>
      </c>
      <c r="AK50" s="55">
        <f>AC50*3+AD50</f>
        <v>3</v>
      </c>
      <c r="AL50" s="55">
        <f>AP50/AP54*1000+AQ50/AQ54*100+AT50/AT54*10+AR50/AR54</f>
        <v>0</v>
      </c>
      <c r="AM50" s="55">
        <f>VLOOKUP(AB50,db_fifarank,2,FALSE)/2000000</f>
        <v>6.045E-4</v>
      </c>
      <c r="AN50" s="56">
        <f>1000*AK50/AK54+100*AJ50+10*AF50/AF54+1*AL50/AL54+AM50</f>
        <v>755.00060450000001</v>
      </c>
      <c r="AO50" s="57" t="str">
        <f>IF(SUM(AC50:AE53)=12,J51,INDEX(T,84,lang))</f>
        <v>Colombia</v>
      </c>
      <c r="AP50" s="58">
        <f>SUMPRODUCT(($S$7:$S$54=AB50&amp;"_win")*($U$7:$U$54))+SUMPRODUCT(($T$7:$T$54=AB50&amp;"_win")*($U$7:$U$54))</f>
        <v>0</v>
      </c>
      <c r="AQ50" s="59">
        <f>SUMPRODUCT(($S$7:$S$54=AB50&amp;"_draw")*($U$7:$U$54))+SUMPRODUCT(($T$7:$T$54=AB50&amp;"_draw")*($U$7:$U$54))</f>
        <v>0</v>
      </c>
      <c r="AR50" s="59">
        <f>SUMPRODUCT(($E$7:$E$54=AB50)*($U$7:$U$54)*($F$7:$F$54))+SUMPRODUCT(($H$7:$H$54=AB50)*($U$7:$U$54)*($G$7:$G$54))</f>
        <v>0</v>
      </c>
      <c r="AS50" s="59">
        <f>SUMPRODUCT(($E$7:$E$54=AB50)*($U$7:$U$54)*($G$7:$G$54))+SUMPRODUCT(($H$7:$H$54=AB50)*($U$7:$U$54)*($F$7:$F$54))</f>
        <v>0</v>
      </c>
      <c r="AT50" s="59">
        <f>AR50-AS50</f>
        <v>0</v>
      </c>
      <c r="AY50" s="112"/>
      <c r="AZ50" s="113"/>
      <c r="BA50" s="113"/>
      <c r="BB50" s="114"/>
    </row>
    <row r="51" spans="1:54" ht="15" customHeight="1" x14ac:dyDescent="0.25">
      <c r="A51" s="18">
        <v>45</v>
      </c>
      <c r="B51" s="19" t="str">
        <f t="shared" si="0"/>
        <v>Csü</v>
      </c>
      <c r="C51" s="20" t="str">
        <f t="shared" si="1"/>
        <v>Jún 28, 2018</v>
      </c>
      <c r="D51" s="21">
        <f t="shared" si="8"/>
        <v>0.75</v>
      </c>
      <c r="E51" s="101" t="str">
        <f>AB47</f>
        <v>Anglia</v>
      </c>
      <c r="F51" s="22">
        <v>0</v>
      </c>
      <c r="G51" s="23">
        <v>1</v>
      </c>
      <c r="H51" s="104" t="str">
        <f>AB44</f>
        <v>Belgium</v>
      </c>
      <c r="J51" s="63" t="str">
        <f>VLOOKUP(1,AA50:AK53,2,FALSE)</f>
        <v>Colombia</v>
      </c>
      <c r="K51" s="64">
        <f>L51+M51+N51</f>
        <v>3</v>
      </c>
      <c r="L51" s="64">
        <f>VLOOKUP(1,AA50:AK53,3,FALSE)</f>
        <v>2</v>
      </c>
      <c r="M51" s="64">
        <f>VLOOKUP(1,AA50:AK53,4,FALSE)</f>
        <v>0</v>
      </c>
      <c r="N51" s="64">
        <f>VLOOKUP(1,AA50:AK53,5,FALSE)</f>
        <v>1</v>
      </c>
      <c r="O51" s="64" t="str">
        <f>VLOOKUP(1,AA50:AK53,6,FALSE) &amp; " - " &amp; VLOOKUP(1,AA50:AK53,7,FALSE)</f>
        <v>5 - 2</v>
      </c>
      <c r="P51" s="65">
        <f>L51*3+M51</f>
        <v>6</v>
      </c>
      <c r="R51" s="55">
        <f>DATE(2018,6,28)+TIME(7,0,0)+gmt_delta</f>
        <v>43279.75</v>
      </c>
      <c r="S51" s="62" t="str">
        <f t="shared" si="2"/>
        <v>Anglia_lose</v>
      </c>
      <c r="T51" s="62" t="str">
        <f t="shared" si="3"/>
        <v>Belgium_win</v>
      </c>
      <c r="U51" s="56">
        <f t="shared" si="4"/>
        <v>0</v>
      </c>
      <c r="V51" s="55">
        <f t="shared" si="5"/>
        <v>0</v>
      </c>
      <c r="W51" s="55">
        <f t="shared" si="6"/>
        <v>0</v>
      </c>
      <c r="X51" s="55">
        <f t="shared" si="7"/>
        <v>0</v>
      </c>
      <c r="Y51" s="55">
        <f t="shared" si="9"/>
        <v>-1</v>
      </c>
      <c r="AA51" s="55">
        <f>COUNTIF(AN50:AN53,CONCATENATE("&gt;=",AN51))</f>
        <v>3</v>
      </c>
      <c r="AB51" s="56" t="str">
        <f>VLOOKUP("Senegal",T,lang,FALSE)</f>
        <v>Szenegál</v>
      </c>
      <c r="AC51" s="55">
        <f>COUNTIF($S$7:$T$54,"=" &amp; AB51 &amp; "_win")</f>
        <v>1</v>
      </c>
      <c r="AD51" s="55">
        <f>COUNTIF($S$7:$T$54,"=" &amp; AB51 &amp; "_draw")</f>
        <v>1</v>
      </c>
      <c r="AE51" s="55">
        <f>COUNTIF($S$7:$T$54,"=" &amp; AB51 &amp; "_lose")</f>
        <v>1</v>
      </c>
      <c r="AF51" s="55">
        <f>SUMIF($E$7:$E$54,$AB51,$F$7:$F$54) + SUMIF($H$7:$H$54,$AB51,$G$7:$G$54)</f>
        <v>4</v>
      </c>
      <c r="AG51" s="55">
        <f>SUMIF($E$7:$E$54,$AB51,$G$7:$G$54) + SUMIF($H$7:$H$54,$AB51,$F$7:$F$54)</f>
        <v>4</v>
      </c>
      <c r="AH51" s="55">
        <f>(AF51-AG51)*100+AK51*10000+AF51</f>
        <v>40004</v>
      </c>
      <c r="AI51" s="55">
        <f>AF51-AG51</f>
        <v>0</v>
      </c>
      <c r="AJ51" s="55">
        <f>(AI51-AI55)/AI54</f>
        <v>0.42857142857142855</v>
      </c>
      <c r="AK51" s="55">
        <f>AC51*3+AD51</f>
        <v>4</v>
      </c>
      <c r="AL51" s="55">
        <f>AP51/AP54*1000+AQ51/AQ54*100+AT51/AT54*10+AR51/AR54</f>
        <v>50.666666666666664</v>
      </c>
      <c r="AM51" s="55">
        <f>VLOOKUP(AB51,db_fifarank,2,FALSE)/2000000</f>
        <v>0</v>
      </c>
      <c r="AN51" s="56">
        <f>1000*AK51/AK54+100*AJ51+10*AF51/AF54+1*AL51/AL54+AM51</f>
        <v>1053.8377880184332</v>
      </c>
      <c r="AO51" s="57" t="str">
        <f>IF(SUM(AC50:AE53)=12,J52,INDEX(T,85,lang))</f>
        <v>Japán</v>
      </c>
      <c r="AP51" s="58">
        <f>SUMPRODUCT(($S$7:$S$54=AB51&amp;"_win")*($U$7:$U$54))+SUMPRODUCT(($T$7:$T$54=AB51&amp;"_win")*($U$7:$U$54))</f>
        <v>0</v>
      </c>
      <c r="AQ51" s="59">
        <f>SUMPRODUCT(($S$7:$S$54=AB51&amp;"_draw")*($U$7:$U$54))+SUMPRODUCT(($T$7:$T$54=AB51&amp;"_draw")*($U$7:$U$54))</f>
        <v>1</v>
      </c>
      <c r="AR51" s="59">
        <f>SUMPRODUCT(($E$7:$E$54=AB51)*($U$7:$U$54)*($F$7:$F$54))+SUMPRODUCT(($H$7:$H$54=AB51)*($U$7:$U$54)*($G$7:$G$54))</f>
        <v>2</v>
      </c>
      <c r="AS51" s="59">
        <f>SUMPRODUCT(($E$7:$E$54=AB51)*($U$7:$U$54)*($G$7:$G$54))+SUMPRODUCT(($H$7:$H$54=AB51)*($U$7:$U$54)*($F$7:$F$54))</f>
        <v>2</v>
      </c>
      <c r="AT51" s="59">
        <f>AR51-AS51</f>
        <v>0</v>
      </c>
      <c r="AY51" s="112"/>
      <c r="AZ51" s="113"/>
      <c r="BA51" s="113"/>
      <c r="BB51" s="114"/>
    </row>
    <row r="52" spans="1:54" ht="15" customHeight="1" x14ac:dyDescent="0.25">
      <c r="A52" s="18">
        <v>46</v>
      </c>
      <c r="B52" s="19" t="str">
        <f t="shared" si="0"/>
        <v>Csü</v>
      </c>
      <c r="C52" s="20" t="str">
        <f t="shared" si="1"/>
        <v>Jún 28, 2018</v>
      </c>
      <c r="D52" s="21">
        <f t="shared" si="8"/>
        <v>0.75</v>
      </c>
      <c r="E52" s="101" t="str">
        <f>AB45</f>
        <v>Panama</v>
      </c>
      <c r="F52" s="22">
        <v>1</v>
      </c>
      <c r="G52" s="23">
        <v>2</v>
      </c>
      <c r="H52" s="104" t="str">
        <f>AB46</f>
        <v>Tunézia</v>
      </c>
      <c r="J52" s="66" t="str">
        <f>VLOOKUP(2,AA50:AK53,2,FALSE)</f>
        <v>Japán</v>
      </c>
      <c r="K52" s="26">
        <f>L52+M52+N52</f>
        <v>3</v>
      </c>
      <c r="L52" s="26">
        <f>VLOOKUP(2,AA50:AK53,3,FALSE)</f>
        <v>1</v>
      </c>
      <c r="M52" s="26">
        <f>VLOOKUP(2,AA50:AK53,4,FALSE)</f>
        <v>1</v>
      </c>
      <c r="N52" s="26">
        <f>VLOOKUP(2,AA50:AK53,5,FALSE)</f>
        <v>1</v>
      </c>
      <c r="O52" s="26" t="str">
        <f>VLOOKUP(2,AA50:AK53,6,FALSE) &amp; " - " &amp; VLOOKUP(2,AA50:AK53,7,FALSE)</f>
        <v>4 - 4</v>
      </c>
      <c r="P52" s="67">
        <f>L52*3+M52</f>
        <v>4</v>
      </c>
      <c r="R52" s="55">
        <f>DATE(2018,6,28)+TIME(7,0,0)+gmt_delta</f>
        <v>43279.75</v>
      </c>
      <c r="S52" s="62" t="str">
        <f t="shared" si="2"/>
        <v>Panama_lose</v>
      </c>
      <c r="T52" s="62" t="str">
        <f t="shared" si="3"/>
        <v>Tunézia_win</v>
      </c>
      <c r="U52" s="56">
        <f t="shared" si="4"/>
        <v>0</v>
      </c>
      <c r="V52" s="55">
        <f t="shared" si="5"/>
        <v>0</v>
      </c>
      <c r="W52" s="55">
        <f t="shared" si="6"/>
        <v>0</v>
      </c>
      <c r="X52" s="55">
        <f t="shared" si="7"/>
        <v>0</v>
      </c>
      <c r="Y52" s="55">
        <f t="shared" si="9"/>
        <v>-1</v>
      </c>
      <c r="AA52" s="55">
        <f>COUNTIF(AN50:AN53,CONCATENATE("&gt;=",AN52))</f>
        <v>1</v>
      </c>
      <c r="AB52" s="56" t="str">
        <f>VLOOKUP("Colombia",T,lang,FALSE)</f>
        <v>Colombia</v>
      </c>
      <c r="AC52" s="55">
        <f>COUNTIF($S$7:$T$54,"=" &amp; AB52 &amp; "_win")</f>
        <v>2</v>
      </c>
      <c r="AD52" s="55">
        <f>COUNTIF($S$7:$T$54,"=" &amp; AB52 &amp; "_draw")</f>
        <v>0</v>
      </c>
      <c r="AE52" s="55">
        <f>COUNTIF($S$7:$T$54,"=" &amp; AB52 &amp; "_lose")</f>
        <v>1</v>
      </c>
      <c r="AF52" s="55">
        <f>SUMIF($E$7:$E$54,$AB52,$F$7:$F$54) + SUMIF($H$7:$H$54,$AB52,$G$7:$G$54)</f>
        <v>5</v>
      </c>
      <c r="AG52" s="55">
        <f>SUMIF($E$7:$E$54,$AB52,$G$7:$G$54) + SUMIF($H$7:$H$54,$AB52,$F$7:$F$54)</f>
        <v>2</v>
      </c>
      <c r="AH52" s="55">
        <f>(AF52-AG52)*100+AK52*10000+AF52</f>
        <v>60305</v>
      </c>
      <c r="AI52" s="55">
        <f>AF52-AG52</f>
        <v>3</v>
      </c>
      <c r="AJ52" s="55">
        <f>(AI52-AI55)/AI54</f>
        <v>0.8571428571428571</v>
      </c>
      <c r="AK52" s="55">
        <f>AC52*3+AD52</f>
        <v>6</v>
      </c>
      <c r="AL52" s="55">
        <f>AP52/AP54*1000+AQ52/AQ54*100+AT52/AT54*10+AR52/AR54</f>
        <v>0</v>
      </c>
      <c r="AM52" s="55">
        <f>VLOOKUP(AB52,db_fifarank,2,FALSE)/2000000</f>
        <v>5.3899999999999998E-4</v>
      </c>
      <c r="AN52" s="56">
        <f>1000*AK52/AK54+100*AJ52+10*AF52/AF54+1*AL52/AL54+AM52</f>
        <v>1598.2148247142857</v>
      </c>
      <c r="AP52" s="58">
        <f>SUMPRODUCT(($S$7:$S$54=AB52&amp;"_win")*($U$7:$U$54))+SUMPRODUCT(($T$7:$T$54=AB52&amp;"_win")*($U$7:$U$54))</f>
        <v>0</v>
      </c>
      <c r="AQ52" s="59">
        <f>SUMPRODUCT(($S$7:$S$54=AB52&amp;"_draw")*($U$7:$U$54))+SUMPRODUCT(($T$7:$T$54=AB52&amp;"_draw")*($U$7:$U$54))</f>
        <v>0</v>
      </c>
      <c r="AR52" s="59">
        <f>SUMPRODUCT(($E$7:$E$54=AB52)*($U$7:$U$54)*($F$7:$F$54))+SUMPRODUCT(($H$7:$H$54=AB52)*($U$7:$U$54)*($G$7:$G$54))</f>
        <v>0</v>
      </c>
      <c r="AS52" s="59">
        <f>SUMPRODUCT(($E$7:$E$54=AB52)*($U$7:$U$54)*($G$7:$G$54))+SUMPRODUCT(($H$7:$H$54=AB52)*($U$7:$U$54)*($F$7:$F$54))</f>
        <v>0</v>
      </c>
      <c r="AT52" s="59">
        <f>AR52-AS52</f>
        <v>0</v>
      </c>
      <c r="AY52" s="115"/>
      <c r="AZ52" s="116"/>
      <c r="BA52" s="116"/>
      <c r="BB52" s="117"/>
    </row>
    <row r="53" spans="1:54" ht="15" customHeight="1" x14ac:dyDescent="0.25">
      <c r="A53" s="18">
        <v>47</v>
      </c>
      <c r="B53" s="19" t="str">
        <f t="shared" si="0"/>
        <v>Csü</v>
      </c>
      <c r="C53" s="20" t="str">
        <f t="shared" si="1"/>
        <v>Jún 28, 2018</v>
      </c>
      <c r="D53" s="21">
        <f t="shared" si="8"/>
        <v>0.58333333333333337</v>
      </c>
      <c r="E53" s="101" t="str">
        <f>AB53</f>
        <v>Japán</v>
      </c>
      <c r="F53" s="22">
        <v>0</v>
      </c>
      <c r="G53" s="23">
        <v>1</v>
      </c>
      <c r="H53" s="104" t="str">
        <f>AB50</f>
        <v>Lengyelország</v>
      </c>
      <c r="J53" s="66" t="str">
        <f>VLOOKUP(3,AA50:AK53,2,FALSE)</f>
        <v>Szenegál</v>
      </c>
      <c r="K53" s="26">
        <f>L53+M53+N53</f>
        <v>3</v>
      </c>
      <c r="L53" s="26">
        <f>VLOOKUP(3,AA50:AK53,3,FALSE)</f>
        <v>1</v>
      </c>
      <c r="M53" s="26">
        <f>VLOOKUP(3,AA50:AK53,4,FALSE)</f>
        <v>1</v>
      </c>
      <c r="N53" s="26">
        <f>VLOOKUP(3,AA50:AK53,5,FALSE)</f>
        <v>1</v>
      </c>
      <c r="O53" s="26" t="str">
        <f>VLOOKUP(3,AA50:AK53,6,FALSE) &amp; " - " &amp; VLOOKUP(3,AA50:AK53,7,FALSE)</f>
        <v>4 - 4</v>
      </c>
      <c r="P53" s="67">
        <f>L53*3+M53</f>
        <v>4</v>
      </c>
      <c r="R53" s="55">
        <f>DATE(2018,6,28)+TIME(3,0,0)+gmt_delta</f>
        <v>43279.583333333336</v>
      </c>
      <c r="S53" s="62" t="str">
        <f t="shared" si="2"/>
        <v>Japán_lose</v>
      </c>
      <c r="T53" s="62" t="str">
        <f t="shared" si="3"/>
        <v>Lengyelország_win</v>
      </c>
      <c r="U53" s="56">
        <f t="shared" si="4"/>
        <v>0</v>
      </c>
      <c r="V53" s="55">
        <f t="shared" si="5"/>
        <v>0</v>
      </c>
      <c r="W53" s="55">
        <f t="shared" si="6"/>
        <v>0</v>
      </c>
      <c r="X53" s="55">
        <f t="shared" si="7"/>
        <v>0</v>
      </c>
      <c r="Y53" s="55">
        <f t="shared" si="9"/>
        <v>-1</v>
      </c>
      <c r="AA53" s="55">
        <f>COUNTIF(AN50:AN53,CONCATENATE("&gt;=",AN53))</f>
        <v>2</v>
      </c>
      <c r="AB53" s="56" t="str">
        <f>VLOOKUP("Japan",T,lang,FALSE)</f>
        <v>Japán</v>
      </c>
      <c r="AC53" s="55">
        <f>COUNTIF($S$7:$T$54,"=" &amp; AB53 &amp; "_win")</f>
        <v>1</v>
      </c>
      <c r="AD53" s="55">
        <f>COUNTIF($S$7:$T$54,"=" &amp; AB53 &amp; "_draw")</f>
        <v>1</v>
      </c>
      <c r="AE53" s="55">
        <f>COUNTIF($S$7:$T$54,"=" &amp; AB53 &amp; "_lose")</f>
        <v>1</v>
      </c>
      <c r="AF53" s="55">
        <f>SUMIF($E$7:$E$54,$AB53,$F$7:$F$54) + SUMIF($H$7:$H$54,$AB53,$G$7:$G$54)</f>
        <v>4</v>
      </c>
      <c r="AG53" s="55">
        <f>SUMIF($E$7:$E$54,$AB53,$G$7:$G$54) + SUMIF($H$7:$H$54,$AB53,$F$7:$F$54)</f>
        <v>4</v>
      </c>
      <c r="AH53" s="55">
        <f>(AF53-AG53)*100+AK53*10000+AF53</f>
        <v>40004</v>
      </c>
      <c r="AI53" s="55">
        <f>AF53-AG53</f>
        <v>0</v>
      </c>
      <c r="AJ53" s="55">
        <f>(AI53-AI55)/AI54</f>
        <v>0.42857142857142855</v>
      </c>
      <c r="AK53" s="55">
        <f>AC53*3+AD53</f>
        <v>4</v>
      </c>
      <c r="AL53" s="55">
        <f>AP53/AP54*1000+AQ53/AQ54*100+AT53/AT54*10+AR53/AR54</f>
        <v>50.666666666666664</v>
      </c>
      <c r="AM53" s="55">
        <f>VLOOKUP(AB53,db_fifarank,2,FALSE)/2000000</f>
        <v>2.9999999999999997E-4</v>
      </c>
      <c r="AN53" s="56">
        <f>1000*AK53/AK54+100*AJ53+10*AF53/AF54+1*AL53/AL54+AM53</f>
        <v>1053.8380880184332</v>
      </c>
      <c r="AP53" s="58">
        <f>SUMPRODUCT(($S$7:$S$54=AB53&amp;"_win")*($U$7:$U$54))+SUMPRODUCT(($T$7:$T$54=AB53&amp;"_win")*($U$7:$U$54))</f>
        <v>0</v>
      </c>
      <c r="AQ53" s="59">
        <f>SUMPRODUCT(($S$7:$S$54=AB53&amp;"_draw")*($U$7:$U$54))+SUMPRODUCT(($T$7:$T$54=AB53&amp;"_draw")*($U$7:$U$54))</f>
        <v>1</v>
      </c>
      <c r="AR53" s="59">
        <f>SUMPRODUCT(($E$7:$E$54=AB53)*($U$7:$U$54)*($F$7:$F$54))+SUMPRODUCT(($H$7:$H$54=AB53)*($U$7:$U$54)*($G$7:$G$54))</f>
        <v>2</v>
      </c>
      <c r="AS53" s="59">
        <f>SUMPRODUCT(($E$7:$E$54=AB53)*($U$7:$U$54)*($G$7:$G$54))+SUMPRODUCT(($H$7:$H$54=AB53)*($U$7:$U$54)*($F$7:$F$54))</f>
        <v>2</v>
      </c>
      <c r="AT53" s="59">
        <f>AR53-AS53</f>
        <v>0</v>
      </c>
    </row>
    <row r="54" spans="1:54" ht="15" customHeight="1" x14ac:dyDescent="0.25">
      <c r="A54" s="43">
        <v>48</v>
      </c>
      <c r="B54" s="44" t="str">
        <f t="shared" si="0"/>
        <v>Csü</v>
      </c>
      <c r="C54" s="45" t="str">
        <f t="shared" si="1"/>
        <v>Jún 28, 2018</v>
      </c>
      <c r="D54" s="46">
        <f t="shared" si="8"/>
        <v>0.58333333333333337</v>
      </c>
      <c r="E54" s="102" t="str">
        <f>AB51</f>
        <v>Szenegál</v>
      </c>
      <c r="F54" s="31">
        <v>0</v>
      </c>
      <c r="G54" s="32">
        <v>1</v>
      </c>
      <c r="H54" s="105" t="str">
        <f>AB52</f>
        <v>Colombia</v>
      </c>
      <c r="J54" s="68" t="str">
        <f>VLOOKUP(4,AA50:AK53,2,FALSE)</f>
        <v>Lengyelország</v>
      </c>
      <c r="K54" s="69">
        <f>L54+M54+N54</f>
        <v>3</v>
      </c>
      <c r="L54" s="69">
        <f>VLOOKUP(4,AA50:AK53,3,FALSE)</f>
        <v>1</v>
      </c>
      <c r="M54" s="69">
        <f>VLOOKUP(4,AA50:AK53,4,FALSE)</f>
        <v>0</v>
      </c>
      <c r="N54" s="69">
        <f>VLOOKUP(4,AA50:AK53,5,FALSE)</f>
        <v>2</v>
      </c>
      <c r="O54" s="69" t="str">
        <f>VLOOKUP(4,AA50:AK53,6,FALSE) &amp; " - " &amp; VLOOKUP(4,AA50:AK53,7,FALSE)</f>
        <v>2 - 5</v>
      </c>
      <c r="P54" s="70">
        <f>L54*3+M54</f>
        <v>3</v>
      </c>
      <c r="R54" s="55">
        <f>DATE(2018,6,28)+TIME(3,0,0)+gmt_delta</f>
        <v>43279.583333333336</v>
      </c>
      <c r="S54" s="62" t="str">
        <f t="shared" si="2"/>
        <v>Szenegál_lose</v>
      </c>
      <c r="T54" s="62" t="str">
        <f t="shared" si="3"/>
        <v>Colombia_win</v>
      </c>
      <c r="U54" s="56">
        <f t="shared" si="4"/>
        <v>0</v>
      </c>
      <c r="V54" s="55">
        <f t="shared" si="5"/>
        <v>0</v>
      </c>
      <c r="W54" s="55">
        <f t="shared" si="6"/>
        <v>0</v>
      </c>
      <c r="X54" s="55">
        <f t="shared" si="7"/>
        <v>0</v>
      </c>
      <c r="Y54" s="55">
        <f t="shared" si="9"/>
        <v>-1</v>
      </c>
      <c r="AC54" s="55">
        <f t="shared" ref="AC54:AL54" si="17">MAX(AC50:AC53)-MIN(AC50:AC53)+1</f>
        <v>2</v>
      </c>
      <c r="AD54" s="55">
        <f t="shared" si="17"/>
        <v>2</v>
      </c>
      <c r="AE54" s="55">
        <f t="shared" si="17"/>
        <v>2</v>
      </c>
      <c r="AF54" s="55">
        <f t="shared" si="17"/>
        <v>4</v>
      </c>
      <c r="AG54" s="55">
        <f t="shared" si="17"/>
        <v>4</v>
      </c>
      <c r="AH54" s="55">
        <f>MAX(AH50:AH53)-AH55+1</f>
        <v>30604</v>
      </c>
      <c r="AI54" s="55">
        <f>MAX(AI50:AI53)-AI55+1</f>
        <v>7</v>
      </c>
      <c r="AK54" s="55">
        <f t="shared" si="17"/>
        <v>4</v>
      </c>
      <c r="AL54" s="55">
        <f t="shared" si="17"/>
        <v>51.666666666666664</v>
      </c>
      <c r="AP54" s="55">
        <f>MAX(AP50:AP53)-MIN(AP50:AP53)+1</f>
        <v>1</v>
      </c>
      <c r="AQ54" s="55">
        <f>MAX(AQ50:AQ53)-MIN(AQ50:AQ53)+1</f>
        <v>2</v>
      </c>
      <c r="AR54" s="55">
        <f>MAX(AR50:AR53)-MIN(AR50:AR53)+1</f>
        <v>3</v>
      </c>
      <c r="AS54" s="55">
        <f>MAX(AS50:AS53)-MIN(AS50:AS53)+1</f>
        <v>3</v>
      </c>
      <c r="AT54" s="55">
        <f>MAX(AT50:AT53)-MIN(AT50:AT53)+1</f>
        <v>1</v>
      </c>
    </row>
    <row r="55" spans="1:54" x14ac:dyDescent="0.25">
      <c r="A55" s="47"/>
      <c r="B55" s="48"/>
      <c r="C55" s="47"/>
      <c r="D55" s="49"/>
      <c r="E55" s="50"/>
      <c r="F55" s="51"/>
      <c r="G55" s="51"/>
      <c r="H55" s="52"/>
      <c r="I55" s="53"/>
      <c r="J55" s="54"/>
      <c r="K55" s="47"/>
      <c r="L55" s="47"/>
      <c r="M55" s="47"/>
      <c r="N55" s="47"/>
      <c r="O55" s="47"/>
      <c r="P55" s="47"/>
      <c r="AH55" s="55">
        <f>MIN(AH50:AH53)</f>
        <v>29702</v>
      </c>
      <c r="AI55" s="55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55">
        <f>DATE(2018,6,30)+TIME(7,0,0)+gmt_delta</f>
        <v>43281.75</v>
      </c>
      <c r="S58" s="62" t="str">
        <f>IF(OR(BA10="",BA11=""),"",IF(BA10&gt;BA11,AZ10,IF(BA10&lt;BA11,AZ11,IF(OR(BB10="",BB11=""),"draw",IF(BB10&gt;BB11,AZ10,IF(BB10&lt;BB11,AZ11,"draw"))))))</f>
        <v>Uruguay</v>
      </c>
      <c r="T58" s="62" t="str">
        <f>IF(OR(S58="",S58="draw"),INDEX(T,86,lang),S58)</f>
        <v>Uruguay</v>
      </c>
    </row>
    <row r="59" spans="1:54" ht="12.75" customHeight="1" x14ac:dyDescent="0.25">
      <c r="R59" s="55">
        <f>DATE(2018,6,30)+TIME(3,0,0)+gmt_delta</f>
        <v>43281.583333333336</v>
      </c>
      <c r="S59" s="62" t="str">
        <f>IF(OR(BA14="",BA15=""),"",IF(BA14&gt;BA15,AZ14,IF(BA14&lt;BA15,AZ15,IF(OR(BB14="",BB15=""),"draw",IF(BB14&gt;BB15,AZ14,IF(BB14&lt;BB15,AZ15,"draw"))))))</f>
        <v>Franciaország</v>
      </c>
      <c r="T59" s="62" t="str">
        <f>IF(OR(S59="",S59="draw"),INDEX(T,87,lang),S59)</f>
        <v>Franciaország</v>
      </c>
    </row>
    <row r="60" spans="1:54" ht="12.75" customHeight="1" x14ac:dyDescent="0.25">
      <c r="R60" s="55">
        <f>DATE(2018,7,1)+TIME(3,0,0)+gmt_delta</f>
        <v>43282.583333333336</v>
      </c>
      <c r="S60" s="62" t="str">
        <f>IF(OR(BA26="",BA27=""),"",IF(BA26&gt;BA27,AZ26,IF(BA26&lt;BA27,AZ27,IF(OR(BB26="",BB27=""),"draw",IF(BB26&gt;BB27,AZ26,IF(BB26&lt;BB27,AZ27,"draw"))))))</f>
        <v>Oroszország</v>
      </c>
      <c r="T60" s="62" t="str">
        <f>IF(OR(S60="",S60="draw"),INDEX(T,88,lang),S60)</f>
        <v>Oroszország</v>
      </c>
    </row>
    <row r="61" spans="1:54" ht="12.75" customHeight="1" x14ac:dyDescent="0.25">
      <c r="R61" s="55">
        <f>DATE(2018,7,1)+TIME(7,0,0)+gmt_delta</f>
        <v>43282.75</v>
      </c>
      <c r="S61" s="62" t="str">
        <f>IF(OR(BA30="",BA31=""),"",IF(BA30&gt;BA31,AZ30,IF(BA30&lt;BA31,AZ31,IF(OR(BB30="",BB31=""),"draw",IF(BB30&gt;BB31,AZ30,IF(BB30&lt;BB31,AZ31,"draw"))))))</f>
        <v>Horvátország</v>
      </c>
      <c r="T61" s="62" t="str">
        <f>IF(OR(S61="",S61="draw"),INDEX(T,89,lang),S61)</f>
        <v>Horvátország</v>
      </c>
    </row>
    <row r="62" spans="1:54" ht="12.75" customHeight="1" x14ac:dyDescent="0.25">
      <c r="R62" s="55">
        <f>DATE(2018,7,2)+TIME(3,0,0)+gmt_delta</f>
        <v>43283.583333333336</v>
      </c>
      <c r="S62" s="62" t="str">
        <f>IF(OR(BA18="",BA19=""),"",IF(BA18&gt;BA19,AZ18,IF(BA18&lt;BA19,AZ19,IF(OR(BB18="",BB19=""),"draw",IF(BB18&gt;BB19,AZ18,IF(BB18&lt;BB19,AZ19,"draw"))))))</f>
        <v>Brazília</v>
      </c>
      <c r="T62" s="62" t="str">
        <f>IF(OR(S62="",S62="draw"),INDEX(T,90,lang),S62)</f>
        <v>Brazília</v>
      </c>
    </row>
    <row r="63" spans="1:54" ht="12.75" customHeight="1" x14ac:dyDescent="0.25">
      <c r="R63" s="55">
        <f>DATE(2018,7,2)+TIME(7,0,0)+gmt_delta</f>
        <v>43283.75</v>
      </c>
      <c r="S63" s="62" t="str">
        <f>IF(OR(BA22="",BA23=""),"",IF(BA22&gt;BA23,AZ22,IF(BA22&lt;BA23,AZ23,IF(OR(BB22="",BB23=""),"draw",IF(BB22&gt;BB23,AZ22,IF(BB22&lt;BB23,AZ23,"draw"))))))</f>
        <v>Belgium</v>
      </c>
      <c r="T63" s="62" t="str">
        <f>IF(OR(S63="",S63="draw"),INDEX(T,91,lang),S63)</f>
        <v>Belgium</v>
      </c>
    </row>
    <row r="64" spans="1:54" ht="12.75" customHeight="1" x14ac:dyDescent="0.25">
      <c r="R64" s="55">
        <f>DATE(2018,7,3)+TIME(3,0,0)+gmt_delta</f>
        <v>43284.583333333336</v>
      </c>
      <c r="S64" s="62" t="str">
        <f>IF(OR(BA34="",BA35=""),"",IF(BA34&gt;BA35,AZ34,IF(BA34&lt;BA35,AZ35,IF(OR(BB34="",BB35=""),"draw",IF(BB34&gt;BB35,AZ34,IF(BB34&lt;BB35,AZ35,"draw"))))))</f>
        <v>Svédország</v>
      </c>
      <c r="T64" s="62" t="str">
        <f>IF(OR(S64="",S64="draw"),INDEX(T,92,lang),S64)</f>
        <v>Svédország</v>
      </c>
    </row>
    <row r="65" spans="18:26" ht="12.75" customHeight="1" x14ac:dyDescent="0.25">
      <c r="R65" s="55">
        <f>DATE(2018,7,3)+TIME(7,0,0)+gmt_delta</f>
        <v>43284.75</v>
      </c>
      <c r="S65" s="62" t="str">
        <f>IF(OR(BA38="",BA39=""),"",IF(BA38&gt;BA39,AZ38,IF(BA38&lt;BA39,AZ39,IF(OR(BB38="",BB39=""),"draw",IF(BB38&gt;BB39,AZ38,IF(BB38&lt;BB39,AZ39,"draw"))))))</f>
        <v>Anglia</v>
      </c>
      <c r="T65" s="62" t="str">
        <f>IF(OR(S65="",S65="draw"),INDEX(T,93,lang),S65)</f>
        <v>Anglia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5">
        <f>DATE(2018,7,6)+TIME(3,0,0)+gmt_delta</f>
        <v>43287.583333333336</v>
      </c>
      <c r="S69" s="62" t="str">
        <f>IF(OR(BG12="",BG13=""),"",IF(BG12&gt;BG13,BF12,IF(BG12&lt;BG13,BF13,IF(OR(BH12="",BH13=""),"draw",IF(BH12&gt;BH13,BF12,IF(BH12&lt;BH13,BF13,"draw"))))))</f>
        <v>Franciaország</v>
      </c>
      <c r="T69" s="62" t="str">
        <f>IF(OR(S69="",S69="draw"),INDEX(T,94,lang),S69)</f>
        <v>Franciaország</v>
      </c>
    </row>
    <row r="70" spans="18:26" ht="12.75" customHeight="1" x14ac:dyDescent="0.25">
      <c r="R70" s="55">
        <f>DATE(2018,7,6)+TIME(7,0,0)+gmt_delta</f>
        <v>43287.75</v>
      </c>
      <c r="S70" s="62" t="str">
        <f>IF(OR(BG20="",BG21=""),"",IF(BG20&gt;BG21,BF20,IF(BG20&lt;BG21,BF21,IF(OR(BH20="",BH21=""),"draw",IF(BH20&gt;BH21,BF20,IF(BH20&lt;BH21,BF21,"draw"))))))</f>
        <v>Belgium</v>
      </c>
      <c r="T70" s="62" t="str">
        <f>IF(OR(S70="",S70="draw"),INDEX(T,95,lang),S70)</f>
        <v>Belgium</v>
      </c>
    </row>
    <row r="71" spans="18:26" ht="12.75" customHeight="1" x14ac:dyDescent="0.25">
      <c r="R71" s="55">
        <f>DATE(2018,7,7)+TIME(7,0,0)+gmt_delta</f>
        <v>43288.75</v>
      </c>
      <c r="S71" s="62" t="str">
        <f>IF(OR(BG28="",BG29=""),"",IF(BG28&gt;BG29,BF28,IF(BG28&lt;BG29,BF29,IF(OR(BH28="",BH29=""),"draw",IF(BH28&gt;BH29,BF28,IF(BH28&lt;BH29,BF29,"draw"))))))</f>
        <v>Horvátország</v>
      </c>
      <c r="T71" s="62" t="str">
        <f>IF(OR(S71="",S71="draw"),INDEX(T,96,lang),S71)</f>
        <v>Horvátország</v>
      </c>
    </row>
    <row r="72" spans="18:26" ht="12.75" customHeight="1" x14ac:dyDescent="0.25">
      <c r="R72" s="55">
        <f>DATE(2018,7,7)+TIME(3,0,0)+gmt_delta</f>
        <v>43288.583333333336</v>
      </c>
      <c r="S72" s="62" t="str">
        <f>IF(OR(BG36="",BG37=""),"",IF(BG36&gt;BG37,BF36,IF(BG36&lt;BG37,BF37,IF(OR(BH36="",BH37=""),"draw",IF(BH36&gt;BH37,BF36,IF(BH36&lt;BH37,BF37,"draw"))))))</f>
        <v>Anglia</v>
      </c>
      <c r="T72" s="62" t="str">
        <f>IF(OR(S72="",S72="draw"),INDEX(T,97,lang),S72)</f>
        <v>Anglia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5">
        <f>DATE(2018,7,10)+TIME(7,0,0)+gmt_delta</f>
        <v>43291.75</v>
      </c>
      <c r="S76" s="62" t="str">
        <f>IF(OR(BM16="",BM17=""),"",IF(BM16&gt;BM17,BL16,IF(BM16&lt;BM17,BL17,IF(OR(BN16="",BN17=""),"draw",IF(BN16&gt;BN17,BL16,IF(BN16&lt;BN17,BL17,"draw"))))))</f>
        <v/>
      </c>
      <c r="T76" s="62" t="str">
        <f>IF(OR(S76="",S76="draw"),INDEX(T,98,lang),S76)</f>
        <v>GY61</v>
      </c>
      <c r="U76" s="62" t="str">
        <f>IF(OR(BM16="",BM17=""),"",IF(BM16&lt;BM17,BL16,IF(BM16&gt;BM17,BL17,IF(OR(BN16="",BN17=""),"draw",IF(BN16&lt;BN17,BL16,IF(BN16&gt;BN17,BL17,"draw"))))))</f>
        <v/>
      </c>
      <c r="Z76" s="62" t="str">
        <f>IF(OR(U76="",U76="draw"),INDEX(T,100,lang),U76)</f>
        <v>V61</v>
      </c>
    </row>
    <row r="77" spans="18:26" ht="12.75" customHeight="1" x14ac:dyDescent="0.25">
      <c r="R77" s="55">
        <f>DATE(2018,7,11)+TIME(7,0,0)+gmt_delta</f>
        <v>43292.75</v>
      </c>
      <c r="S77" s="62" t="str">
        <f>IF(OR(BM32="",BM33=""),"",IF(BM32&gt;BM33,BL32,IF(BM32&lt;BM33,BL33,IF(OR(BN32="",BN33=""),"draw",IF(BN32&gt;BN33,BL32,IF(BN32&lt;BN33,BL33,"draw"))))))</f>
        <v/>
      </c>
      <c r="T77" s="62" t="str">
        <f>IF(OR(S77="",S77="draw"),INDEX(T,99,lang),S77)</f>
        <v>GY62</v>
      </c>
      <c r="U77" s="62" t="str">
        <f>IF(OR(BM32="",BM33=""),"",IF(BM32&lt;BM33,BL32,IF(BM32&gt;BM33,BL33,IF(OR(BN32="",BN33=""),"draw",IF(BN32&lt;BN33,BL32,IF(BN32&gt;BN33,BL33,"draw"))))))</f>
        <v/>
      </c>
      <c r="Z77" s="62" t="str">
        <f>IF(OR(U77="",U77="draw"),INDEX(T,101,lang),U77)</f>
        <v>V62</v>
      </c>
    </row>
    <row r="79" spans="18:26" ht="12.75" customHeight="1" x14ac:dyDescent="0.25"/>
    <row r="80" spans="18:26" ht="12.75" customHeight="1" x14ac:dyDescent="0.25"/>
    <row r="81" spans="18:20" x14ac:dyDescent="0.25">
      <c r="R81" s="55">
        <f>DATE(2018,7,14)+TIME(3,0,0)+gmt_delta</f>
        <v>43295.583333333336</v>
      </c>
      <c r="T81" s="62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5">
        <f>DATE(2018,7,15)+TIME(4,0,0)+gmt_delta</f>
        <v>43296.625</v>
      </c>
      <c r="S85" s="62" t="str">
        <f>IF(OR(BS23="",BS24=""),"",IF(BS23&gt;BS24,BR23,IF(BS23&lt;BS24,BR24,IF(OR(BT23="",BT24=""),"",IF(BT23&gt;BT24,BR23,IF(BT23&lt;BT24,BR24,""))))))</f>
        <v/>
      </c>
      <c r="T85" s="62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BQ6:BT7"/>
    <mergeCell ref="A1:P1"/>
    <mergeCell ref="O3:P3"/>
    <mergeCell ref="A5:H6"/>
    <mergeCell ref="J5:P6"/>
    <mergeCell ref="AY10:AY11"/>
    <mergeCell ref="BE12:BE13"/>
    <mergeCell ref="AY6:BB7"/>
    <mergeCell ref="BE6:BH7"/>
    <mergeCell ref="BK6:BN7"/>
    <mergeCell ref="AY22:AY23"/>
    <mergeCell ref="BQ23:BQ24"/>
    <mergeCell ref="AY18:AY19"/>
    <mergeCell ref="BE20:BE21"/>
    <mergeCell ref="AY14:AY15"/>
    <mergeCell ref="BK16:BK17"/>
    <mergeCell ref="AY30:AY31"/>
    <mergeCell ref="BQ31:BT32"/>
    <mergeCell ref="BK32:BK33"/>
    <mergeCell ref="AY26:AY27"/>
    <mergeCell ref="BE28:BE29"/>
    <mergeCell ref="AY46:BB52"/>
    <mergeCell ref="AY38:AY39"/>
    <mergeCell ref="BJ41:BN42"/>
    <mergeCell ref="AY34:AY35"/>
    <mergeCell ref="BQ35:BQ36"/>
    <mergeCell ref="BE36:BE37"/>
    <mergeCell ref="BO41:BT42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Attila</cp:lastModifiedBy>
  <cp:lastPrinted>2018-01-03T15:36:04Z</cp:lastPrinted>
  <dcterms:created xsi:type="dcterms:W3CDTF">2017-12-27T19:32:51Z</dcterms:created>
  <dcterms:modified xsi:type="dcterms:W3CDTF">2018-07-09T07:29:57Z</dcterms:modified>
</cp:coreProperties>
</file>